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ЭтаКнига" defaultThemeVersion="124226"/>
  <bookViews>
    <workbookView xWindow="120" yWindow="30" windowWidth="21345" windowHeight="7815" tabRatio="843" firstSheet="37" activeTab="40"/>
  </bookViews>
  <sheets>
    <sheet name="Validations Original" sheetId="56" state="hidden" r:id="rId1"/>
    <sheet name="T" sheetId="1" r:id="rId2"/>
    <sheet name="C" sheetId="2" r:id="rId3"/>
    <sheet name="OB" sheetId="3" r:id="rId4"/>
    <sheet name="BINFO" sheetId="4" r:id="rId5"/>
    <sheet name="BA01.01" sheetId="5" r:id="rId6"/>
    <sheet name="BL01.02" sheetId="6" r:id="rId7"/>
    <sheet name="BC01.03" sheetId="7" r:id="rId8"/>
    <sheet name="BO01.04" sheetId="8" r:id="rId9"/>
    <sheet name="BB01.05" sheetId="9" r:id="rId10"/>
    <sheet name="PL02.01" sheetId="10" r:id="rId11"/>
    <sheet name="CC03.01" sheetId="11" r:id="rId12"/>
    <sheet name="SI04.01" sheetId="12" r:id="rId13"/>
    <sheet name="OA05.01" sheetId="13" r:id="rId14"/>
    <sheet name="OA05.02" sheetId="14" r:id="rId15"/>
    <sheet name="CA06.01" sheetId="15" r:id="rId16"/>
    <sheet name="CA06.02" sheetId="16" r:id="rId17"/>
    <sheet name="CR07.01" sheetId="17" r:id="rId18"/>
    <sheet name="CA07.02" sheetId="18" r:id="rId19"/>
    <sheet name="LB08.01" sheetId="19" r:id="rId20"/>
    <sheet name="AL09.01" sheetId="20" r:id="rId21"/>
    <sheet name="DS11.01" sheetId="21" r:id="rId22"/>
    <sheet name="DD11.02" sheetId="22" r:id="rId23"/>
    <sheet name="GA12.01" sheetId="23" r:id="rId24"/>
    <sheet name="GA12.02" sheetId="24" r:id="rId25"/>
    <sheet name="RM12.03" sheetId="25" r:id="rId26"/>
    <sheet name="RM12.04" sheetId="26" r:id="rId27"/>
    <sheet name="DA13.01" sheetId="27" r:id="rId28"/>
    <sheet name="DA13.03" sheetId="28" r:id="rId29"/>
    <sheet name="DA13.05" sheetId="29" r:id="rId30"/>
    <sheet name="PN14.01" sheetId="30" r:id="rId31"/>
    <sheet name="CA15.01" sheetId="31" r:id="rId32"/>
    <sheet name="CA15.02" sheetId="32" r:id="rId33"/>
    <sheet name="CA15.03" sheetId="33" r:id="rId34"/>
    <sheet name="CA15.04" sheetId="34" r:id="rId35"/>
    <sheet name="CA15.05" sheetId="35" r:id="rId36"/>
    <sheet name="MA16.01" sheetId="36" r:id="rId37"/>
    <sheet name="MI17.01" sheetId="37" r:id="rId38"/>
    <sheet name="DI18.01" sheetId="38" r:id="rId39"/>
    <sheet name="FX19.01" sheetId="39" r:id="rId40"/>
    <sheet name="CL20.01" sheetId="40" r:id="rId41"/>
    <sheet name="CL20.02" sheetId="41" r:id="rId42"/>
    <sheet name="BB21.01" sheetId="42" r:id="rId43"/>
    <sheet name="BB21.02" sheetId="53" r:id="rId44"/>
    <sheet name="AC22.01" sheetId="44" r:id="rId45"/>
    <sheet name="AC22.02" sheetId="55" r:id="rId46"/>
    <sheet name="WO23.01" sheetId="47" r:id="rId47"/>
    <sheet name="KI24.01" sheetId="48" r:id="rId48"/>
    <sheet name="KI24.02" sheetId="49" r:id="rId49"/>
    <sheet name="KI24.03" sheetId="50" r:id="rId50"/>
    <sheet name="PB25.01" sheetId="51" r:id="rId51"/>
    <sheet name="List of Scedules" sheetId="43" r:id="rId52"/>
    <sheet name="Validations" sheetId="59" r:id="rId53"/>
  </sheets>
  <externalReferences>
    <externalReference r:id="rId54"/>
  </externalReferences>
  <definedNames>
    <definedName name="Z_2EBF18CB_80C9_43ED_A978_2AAEAC40933E_.wvu.PrintArea" localSheetId="4" hidden="1">BINFO!$A$1:$I$57</definedName>
    <definedName name="Z_2EBF18CB_80C9_43ED_A978_2AAEAC40933E_.wvu.PrintArea" localSheetId="2" hidden="1">'C'!$A$1:$L$62</definedName>
    <definedName name="Z_2EBF18CB_80C9_43ED_A978_2AAEAC40933E_.wvu.PrintArea" localSheetId="21" hidden="1">DS11.01!$A$1:$N$25</definedName>
    <definedName name="Z_2EBF18CB_80C9_43ED_A978_2AAEAC40933E_.wvu.PrintArea" localSheetId="10" hidden="1">PL02.01!$A$1:$D$136</definedName>
    <definedName name="Z_2EBF18CB_80C9_43ED_A978_2AAEAC40933E_.wvu.PrintArea" localSheetId="1" hidden="1">T!$A$1:$J$59</definedName>
    <definedName name="Z_2EBF18CB_80C9_43ED_A978_2AAEAC40933E_.wvu.Rows" localSheetId="39" hidden="1">FX19.01!$9:$9,FX19.01!$20:$20</definedName>
    <definedName name="Z_47D3AB49_9599_4A16_951B_F48FEC1C0136_.wvu.PrintArea" localSheetId="4" hidden="1">BINFO!$A$1:$I$57</definedName>
    <definedName name="Z_47D3AB49_9599_4A16_951B_F48FEC1C0136_.wvu.PrintArea" localSheetId="2" hidden="1">'C'!$A$1:$L$62</definedName>
    <definedName name="Z_47D3AB49_9599_4A16_951B_F48FEC1C0136_.wvu.PrintArea" localSheetId="21" hidden="1">DS11.01!$A$1:$N$25</definedName>
    <definedName name="Z_47D3AB49_9599_4A16_951B_F48FEC1C0136_.wvu.PrintArea" localSheetId="10" hidden="1">PL02.01!$A$1:$D$136</definedName>
    <definedName name="Z_47D3AB49_9599_4A16_951B_F48FEC1C0136_.wvu.PrintArea" localSheetId="1" hidden="1">T!$A$1:$J$59</definedName>
    <definedName name="Z_47D3AB49_9599_4A16_951B_F48FEC1C0136_.wvu.Rows" localSheetId="39" hidden="1">FX19.01!$9:$9,FX19.01!$20:$20</definedName>
    <definedName name="Z_871F8275_217B_436F_8813_871F820F0EE4_.wvu.PrintArea" localSheetId="20" hidden="1">AL09.01!$A$1:$R$170</definedName>
    <definedName name="Z_871F8275_217B_436F_8813_871F820F0EE4_.wvu.PrintArea" localSheetId="42" hidden="1">BB21.01!$A$1:$Q$47</definedName>
    <definedName name="Z_871F8275_217B_436F_8813_871F820F0EE4_.wvu.PrintArea" localSheetId="43" hidden="1">BB21.02!$A$1:$O$47</definedName>
    <definedName name="Z_871F8275_217B_436F_8813_871F820F0EE4_.wvu.PrintArea" localSheetId="4" hidden="1">BINFO!$A$1:$I$56</definedName>
    <definedName name="Z_871F8275_217B_436F_8813_871F820F0EE4_.wvu.PrintArea" localSheetId="2" hidden="1">'C'!$A$1:$L$62</definedName>
    <definedName name="Z_871F8275_217B_436F_8813_871F820F0EE4_.wvu.PrintArea" localSheetId="21" hidden="1">DS11.01!$A$1:$N$25</definedName>
    <definedName name="Z_871F8275_217B_436F_8813_871F820F0EE4_.wvu.PrintArea" localSheetId="39" hidden="1">FX19.01!$A$1:$M$44</definedName>
    <definedName name="Z_871F8275_217B_436F_8813_871F820F0EE4_.wvu.PrintArea" localSheetId="19" hidden="1">LB08.01!$A$1:$Q$149</definedName>
    <definedName name="Z_871F8275_217B_436F_8813_871F820F0EE4_.wvu.PrintArea" localSheetId="37" hidden="1">MI17.01!$A$1:$D$176</definedName>
    <definedName name="Z_871F8275_217B_436F_8813_871F820F0EE4_.wvu.PrintArea" localSheetId="3" hidden="1">OB!$A$1:$I$55</definedName>
    <definedName name="Z_871F8275_217B_436F_8813_871F820F0EE4_.wvu.PrintArea" localSheetId="10" hidden="1">PL02.01!$A$1:$D$136</definedName>
    <definedName name="Z_871F8275_217B_436F_8813_871F820F0EE4_.wvu.PrintArea" localSheetId="30" hidden="1">PN14.01!$A$1:$H$27</definedName>
    <definedName name="Z_871F8275_217B_436F_8813_871F820F0EE4_.wvu.Rows" localSheetId="35" hidden="1">CA15.05!$18:$18</definedName>
    <definedName name="Z_871F8275_217B_436F_8813_871F820F0EE4_.wvu.Rows" localSheetId="39" hidden="1">FX19.01!$9:$9</definedName>
    <definedName name="Z_ECE607A2_8A26_46E0_8BDC_E9AD788F604C_.wvu.PrintArea" localSheetId="20" hidden="1">AL09.01!$A$1:$R$170</definedName>
    <definedName name="Z_ECE607A2_8A26_46E0_8BDC_E9AD788F604C_.wvu.PrintArea" localSheetId="42" hidden="1">BB21.01!$A$1:$Q$47</definedName>
    <definedName name="Z_ECE607A2_8A26_46E0_8BDC_E9AD788F604C_.wvu.PrintArea" localSheetId="43" hidden="1">BB21.02!$A$1:$O$47</definedName>
    <definedName name="Z_ECE607A2_8A26_46E0_8BDC_E9AD788F604C_.wvu.PrintArea" localSheetId="4" hidden="1">BINFO!$A$1:$I$56</definedName>
    <definedName name="Z_ECE607A2_8A26_46E0_8BDC_E9AD788F604C_.wvu.PrintArea" localSheetId="2" hidden="1">'C'!$A$1:$L$62</definedName>
    <definedName name="Z_ECE607A2_8A26_46E0_8BDC_E9AD788F604C_.wvu.PrintArea" localSheetId="21" hidden="1">DS11.01!$A$1:$N$25</definedName>
    <definedName name="Z_ECE607A2_8A26_46E0_8BDC_E9AD788F604C_.wvu.PrintArea" localSheetId="39" hidden="1">FX19.01!$A$1:$M$44</definedName>
    <definedName name="Z_ECE607A2_8A26_46E0_8BDC_E9AD788F604C_.wvu.PrintArea" localSheetId="19" hidden="1">LB08.01!$A$1:$Q$149</definedName>
    <definedName name="Z_ECE607A2_8A26_46E0_8BDC_E9AD788F604C_.wvu.PrintArea" localSheetId="37" hidden="1">MI17.01!$A$1:$D$176</definedName>
    <definedName name="Z_ECE607A2_8A26_46E0_8BDC_E9AD788F604C_.wvu.PrintArea" localSheetId="3" hidden="1">OB!$A$1:$I$55</definedName>
    <definedName name="Z_ECE607A2_8A26_46E0_8BDC_E9AD788F604C_.wvu.PrintArea" localSheetId="10" hidden="1">PL02.01!$A$1:$D$136</definedName>
    <definedName name="Z_ECE607A2_8A26_46E0_8BDC_E9AD788F604C_.wvu.PrintArea" localSheetId="30" hidden="1">PN14.01!$A$1:$H$27</definedName>
    <definedName name="Z_ECE607A2_8A26_46E0_8BDC_E9AD788F604C_.wvu.PrintArea" localSheetId="1" hidden="1">T!$A$1:$J$59</definedName>
    <definedName name="Z_ECE607A2_8A26_46E0_8BDC_E9AD788F604C_.wvu.Rows" localSheetId="35" hidden="1">CA15.05!$18:$18</definedName>
    <definedName name="Z_ECE607A2_8A26_46E0_8BDC_E9AD788F604C_.wvu.Rows" localSheetId="39" hidden="1">FX19.01!$9:$9</definedName>
    <definedName name="Z_FB1E0752_409C_4E7D_BCFE_7AEBEB8B5F0D_.wvu.PrintArea" localSheetId="20" hidden="1">AL09.01!$A$1:$R$170</definedName>
    <definedName name="Z_FB1E0752_409C_4E7D_BCFE_7AEBEB8B5F0D_.wvu.PrintArea" localSheetId="42" hidden="1">BB21.01!$A$1:$Q$47</definedName>
    <definedName name="Z_FB1E0752_409C_4E7D_BCFE_7AEBEB8B5F0D_.wvu.PrintArea" localSheetId="43" hidden="1">BB21.02!$A$1:$O$47</definedName>
    <definedName name="Z_FB1E0752_409C_4E7D_BCFE_7AEBEB8B5F0D_.wvu.PrintArea" localSheetId="4" hidden="1">BINFO!$A$1:$I$56</definedName>
    <definedName name="Z_FB1E0752_409C_4E7D_BCFE_7AEBEB8B5F0D_.wvu.PrintArea" localSheetId="2" hidden="1">'C'!$A$1:$L$62</definedName>
    <definedName name="Z_FB1E0752_409C_4E7D_BCFE_7AEBEB8B5F0D_.wvu.PrintArea" localSheetId="21" hidden="1">DS11.01!$A$1:$N$25</definedName>
    <definedName name="Z_FB1E0752_409C_4E7D_BCFE_7AEBEB8B5F0D_.wvu.PrintArea" localSheetId="39" hidden="1">FX19.01!$A$1:$M$44</definedName>
    <definedName name="Z_FB1E0752_409C_4E7D_BCFE_7AEBEB8B5F0D_.wvu.PrintArea" localSheetId="19" hidden="1">LB08.01!$A$1:$Q$149</definedName>
    <definedName name="Z_FB1E0752_409C_4E7D_BCFE_7AEBEB8B5F0D_.wvu.PrintArea" localSheetId="37" hidden="1">MI17.01!$A$1:$D$176</definedName>
    <definedName name="Z_FB1E0752_409C_4E7D_BCFE_7AEBEB8B5F0D_.wvu.PrintArea" localSheetId="3" hidden="1">OB!$A$1:$I$55</definedName>
    <definedName name="Z_FB1E0752_409C_4E7D_BCFE_7AEBEB8B5F0D_.wvu.PrintArea" localSheetId="10" hidden="1">PL02.01!$A$1:$D$136</definedName>
    <definedName name="Z_FB1E0752_409C_4E7D_BCFE_7AEBEB8B5F0D_.wvu.PrintArea" localSheetId="30" hidden="1">PN14.01!$A$1:$H$27</definedName>
    <definedName name="Z_FB1E0752_409C_4E7D_BCFE_7AEBEB8B5F0D_.wvu.Rows" localSheetId="35" hidden="1">CA15.05!$18:$18</definedName>
    <definedName name="Z_FB1E0752_409C_4E7D_BCFE_7AEBEB8B5F0D_.wvu.Rows" localSheetId="39" hidden="1">FX19.01!$9:$9</definedName>
    <definedName name="_xlnm.Print_Area" localSheetId="44">AC22.01!$A$1:$P$38</definedName>
    <definedName name="_xlnm.Print_Area" localSheetId="45">AC22.02!$A$1:$P$38</definedName>
    <definedName name="_xlnm.Print_Area" localSheetId="20">AL09.01!$A$1:$R$170</definedName>
    <definedName name="_xlnm.Print_Area" localSheetId="9">BB01.05!$A$1:$E$33</definedName>
    <definedName name="_xlnm.Print_Area" localSheetId="42">BB21.01!$A$1:$Q$47</definedName>
    <definedName name="_xlnm.Print_Area" localSheetId="43">BB21.02!$A$1:$O$47</definedName>
    <definedName name="_xlnm.Print_Area" localSheetId="4">BINFO!$A$1:$I$56</definedName>
    <definedName name="_xlnm.Print_Area" localSheetId="2">'C'!$A$1:$L$62</definedName>
    <definedName name="_xlnm.Print_Area" localSheetId="33">CA15.03!$A$1:$F$34</definedName>
    <definedName name="_xlnm.Print_Area" localSheetId="21">DS11.01!$A$1:$N$25</definedName>
    <definedName name="_xlnm.Print_Area" localSheetId="39">FX19.01!$A$1:$M$44</definedName>
    <definedName name="_xlnm.Print_Area" localSheetId="19">LB08.01!$A$1:$Q$149</definedName>
    <definedName name="_xlnm.Print_Area" localSheetId="37">MI17.01!$A$1:$D$176</definedName>
    <definedName name="_xlnm.Print_Area" localSheetId="3">OB!$A$1:$I$55</definedName>
    <definedName name="_xlnm.Print_Area" localSheetId="10">PL02.01!$A$1:$D$136</definedName>
    <definedName name="_xlnm.Print_Area" localSheetId="30">PN14.01!$A$1:$H$27</definedName>
    <definedName name="_xlnm.Print_Area" localSheetId="1">T!$A$1:$J$59</definedName>
  </definedNames>
  <calcPr calcId="124519"/>
  <customWorkbookViews>
    <customWorkbookView name="Пользователь Windows - Личное представление" guid="{871F8275-217B-436F-8813-871F820F0EE4}" mergeInterval="0" personalView="1" maximized="1" xWindow="1" yWindow="1" windowWidth="1356" windowHeight="682" tabRatio="929" activeSheetId="35"/>
    <customWorkbookView name="s_karimov - Личное представление" guid="{2EBF18CB-80C9-43ED-A978-2AAEAC40933E}" mergeInterval="0" personalView="1" maximized="1" windowWidth="1020" windowHeight="596" tabRatio="929" activeSheetId="30"/>
    <customWorkbookView name="UBU_Svod i analiz - Личное представление" guid="{47D3AB49-9599-4A16-951B-F48FEC1C0136}" mergeInterval="0" personalView="1" maximized="1" xWindow="1" yWindow="1" windowWidth="1440" windowHeight="637" tabRatio="929" activeSheetId="5"/>
    <customWorkbookView name="Bozorov U - Личное представление" guid="{ECE607A2-8A26-46E0-8BDC-E9AD788F604C}" mergeInterval="0" personalView="1" maximized="1" xWindow="1" yWindow="1" windowWidth="1360" windowHeight="547" tabRatio="929" activeSheetId="30"/>
    <customWorkbookView name="Лейла Бурнашева - Личное представление" guid="{FB1E0752-409C-4E7D-BCFE-7AEBEB8B5F0D}" mergeInterval="0" personalView="1" maximized="1" xWindow="1" yWindow="1" windowWidth="1920" windowHeight="808" tabRatio="929" activeSheetId="3"/>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4" i="47"/>
  <c r="E25" i="33"/>
  <c r="F8"/>
  <c r="F12"/>
  <c r="F11"/>
  <c r="D7"/>
  <c r="F13" l="1"/>
  <c r="F14"/>
  <c r="F15"/>
  <c r="F16"/>
  <c r="F17"/>
  <c r="F24" s="1"/>
  <c r="D244" i="59" l="1"/>
  <c r="D237"/>
  <c r="D45" l="1"/>
  <c r="D44"/>
  <c r="C44" s="1"/>
  <c r="D43"/>
  <c r="D41"/>
  <c r="D40"/>
  <c r="D39"/>
  <c r="C39" s="1"/>
  <c r="D37"/>
  <c r="D36"/>
  <c r="D35"/>
  <c r="D34"/>
  <c r="C34" s="1"/>
  <c r="D33"/>
  <c r="D13"/>
  <c r="D242"/>
  <c r="D236"/>
  <c r="C236" s="1"/>
  <c r="D225"/>
  <c r="C225" s="1"/>
  <c r="D224"/>
  <c r="D223"/>
  <c r="D222"/>
  <c r="C222" s="1"/>
  <c r="D221"/>
  <c r="C221" s="1"/>
  <c r="D220"/>
  <c r="D219"/>
  <c r="D218"/>
  <c r="C218" s="1"/>
  <c r="D217"/>
  <c r="C217" s="1"/>
  <c r="D216"/>
  <c r="D232"/>
  <c r="D230"/>
  <c r="C230" s="1"/>
  <c r="D213"/>
  <c r="D212"/>
  <c r="C212" s="1"/>
  <c r="D209"/>
  <c r="D208"/>
  <c r="C208" s="1"/>
  <c r="D132"/>
  <c r="C132" s="1"/>
  <c r="D131"/>
  <c r="D57"/>
  <c r="D56"/>
  <c r="C56" s="1"/>
  <c r="D55"/>
  <c r="D54"/>
  <c r="D51"/>
  <c r="C51" s="1"/>
  <c r="C13"/>
  <c r="C33"/>
  <c r="C35"/>
  <c r="C36"/>
  <c r="C37"/>
  <c r="C40"/>
  <c r="C41"/>
  <c r="C43"/>
  <c r="C45"/>
  <c r="C54"/>
  <c r="C55"/>
  <c r="C57"/>
  <c r="C131"/>
  <c r="C209"/>
  <c r="C213"/>
  <c r="C216"/>
  <c r="C219"/>
  <c r="C220"/>
  <c r="C223"/>
  <c r="C224"/>
  <c r="C232"/>
  <c r="C237"/>
  <c r="C242"/>
  <c r="C244"/>
  <c r="D20" i="33"/>
  <c r="D234" i="59"/>
  <c r="C234" s="1"/>
  <c r="D233"/>
  <c r="C233" s="1"/>
  <c r="D231"/>
  <c r="C231" s="1"/>
  <c r="F38" i="44" l="1"/>
  <c r="F24"/>
  <c r="F8"/>
  <c r="H10" i="53"/>
  <c r="K28" i="14"/>
  <c r="J28"/>
  <c r="I28"/>
  <c r="H28"/>
  <c r="L27"/>
  <c r="K27"/>
  <c r="J27"/>
  <c r="I27"/>
  <c r="H27"/>
  <c r="L26"/>
  <c r="K26"/>
  <c r="J26"/>
  <c r="I26"/>
  <c r="H26"/>
  <c r="L25"/>
  <c r="K25"/>
  <c r="J25"/>
  <c r="I25"/>
  <c r="H25"/>
  <c r="L24"/>
  <c r="K24"/>
  <c r="J24"/>
  <c r="I24"/>
  <c r="H24"/>
  <c r="L23"/>
  <c r="K23"/>
  <c r="J23"/>
  <c r="I23"/>
  <c r="H23"/>
  <c r="L22"/>
  <c r="K22"/>
  <c r="J22"/>
  <c r="I22"/>
  <c r="H22"/>
  <c r="L21"/>
  <c r="K21"/>
  <c r="J21"/>
  <c r="I21"/>
  <c r="H21"/>
  <c r="L20"/>
  <c r="K20"/>
  <c r="J20"/>
  <c r="I20"/>
  <c r="H20"/>
  <c r="L19"/>
  <c r="K19"/>
  <c r="J19"/>
  <c r="I19"/>
  <c r="H19"/>
  <c r="L18"/>
  <c r="K18"/>
  <c r="J18"/>
  <c r="I18"/>
  <c r="H18"/>
  <c r="L17"/>
  <c r="K17"/>
  <c r="J17"/>
  <c r="I17"/>
  <c r="H17"/>
  <c r="E22" i="9"/>
  <c r="S12" i="19"/>
  <c r="S362"/>
  <c r="S361"/>
  <c r="S360"/>
  <c r="S359"/>
  <c r="S358"/>
  <c r="S357"/>
  <c r="S356"/>
  <c r="S355"/>
  <c r="S354"/>
  <c r="S353"/>
  <c r="S352"/>
  <c r="S351"/>
  <c r="S350"/>
  <c r="S349"/>
  <c r="S348"/>
  <c r="S347"/>
  <c r="S346"/>
  <c r="S345"/>
  <c r="S344"/>
  <c r="S343"/>
  <c r="S342"/>
  <c r="S341"/>
  <c r="S340"/>
  <c r="S339"/>
  <c r="S338"/>
  <c r="S337"/>
  <c r="S336"/>
  <c r="S335"/>
  <c r="S334"/>
  <c r="S333"/>
  <c r="S332"/>
  <c r="S331"/>
  <c r="S330"/>
  <c r="S329"/>
  <c r="S328"/>
  <c r="S327"/>
  <c r="S326"/>
  <c r="S325"/>
  <c r="S324"/>
  <c r="S323"/>
  <c r="S322"/>
  <c r="S321"/>
  <c r="S320"/>
  <c r="S319"/>
  <c r="S318"/>
  <c r="S317"/>
  <c r="S316"/>
  <c r="S315"/>
  <c r="S314"/>
  <c r="S313"/>
  <c r="S312"/>
  <c r="S311"/>
  <c r="S310"/>
  <c r="S309"/>
  <c r="S308"/>
  <c r="S307"/>
  <c r="S306"/>
  <c r="S305"/>
  <c r="S304"/>
  <c r="S303"/>
  <c r="S302"/>
  <c r="S301"/>
  <c r="S300"/>
  <c r="S299"/>
  <c r="S298"/>
  <c r="S297"/>
  <c r="S296"/>
  <c r="S295"/>
  <c r="S294"/>
  <c r="S293"/>
  <c r="S292"/>
  <c r="S291"/>
  <c r="S290"/>
  <c r="S289"/>
  <c r="S288"/>
  <c r="S287"/>
  <c r="S286"/>
  <c r="S285"/>
  <c r="S284"/>
  <c r="S283"/>
  <c r="S282"/>
  <c r="S281"/>
  <c r="S280"/>
  <c r="S279"/>
  <c r="S278"/>
  <c r="S277"/>
  <c r="S276"/>
  <c r="S275"/>
  <c r="S274"/>
  <c r="S273"/>
  <c r="S272"/>
  <c r="S271"/>
  <c r="S270"/>
  <c r="S269"/>
  <c r="S268"/>
  <c r="S267"/>
  <c r="S266"/>
  <c r="S265"/>
  <c r="S264"/>
  <c r="S263"/>
  <c r="S262"/>
  <c r="S261"/>
  <c r="S260"/>
  <c r="S259"/>
  <c r="S258"/>
  <c r="S257"/>
  <c r="S256"/>
  <c r="S255"/>
  <c r="S254"/>
  <c r="S253"/>
  <c r="S252"/>
  <c r="S251"/>
  <c r="S250"/>
  <c r="S249"/>
  <c r="S248"/>
  <c r="S247"/>
  <c r="S246"/>
  <c r="S245"/>
  <c r="S244"/>
  <c r="S243"/>
  <c r="S242"/>
  <c r="S241"/>
  <c r="S240"/>
  <c r="S239"/>
  <c r="S238"/>
  <c r="S237"/>
  <c r="S236"/>
  <c r="S235"/>
  <c r="S234"/>
  <c r="S233"/>
  <c r="S232"/>
  <c r="S231"/>
  <c r="S230"/>
  <c r="S229"/>
  <c r="S228"/>
  <c r="S227"/>
  <c r="S226"/>
  <c r="S225"/>
  <c r="S224"/>
  <c r="S223"/>
  <c r="S222"/>
  <c r="S221"/>
  <c r="S220"/>
  <c r="S219"/>
  <c r="S218"/>
  <c r="S217"/>
  <c r="S216"/>
  <c r="S215"/>
  <c r="S214"/>
  <c r="S213"/>
  <c r="S212"/>
  <c r="S211"/>
  <c r="S210"/>
  <c r="S209"/>
  <c r="S208"/>
  <c r="S207"/>
  <c r="S206"/>
  <c r="S205"/>
  <c r="S204"/>
  <c r="S203"/>
  <c r="S202"/>
  <c r="S201"/>
  <c r="S200"/>
  <c r="S199"/>
  <c r="S198"/>
  <c r="S197"/>
  <c r="S196"/>
  <c r="S195"/>
  <c r="S194"/>
  <c r="S193"/>
  <c r="S192"/>
  <c r="S191"/>
  <c r="S190"/>
  <c r="S189"/>
  <c r="S188"/>
  <c r="S187"/>
  <c r="S186"/>
  <c r="S185"/>
  <c r="S184"/>
  <c r="S183"/>
  <c r="S182"/>
  <c r="S181"/>
  <c r="S180"/>
  <c r="S179"/>
  <c r="S178"/>
  <c r="S177"/>
  <c r="S176"/>
  <c r="S175"/>
  <c r="S174"/>
  <c r="S173"/>
  <c r="S172"/>
  <c r="S171"/>
  <c r="S170"/>
  <c r="S169"/>
  <c r="S168"/>
  <c r="S167"/>
  <c r="S166"/>
  <c r="S165"/>
  <c r="S164"/>
  <c r="S163"/>
  <c r="S162"/>
  <c r="S161"/>
  <c r="S160"/>
  <c r="S159"/>
  <c r="S158"/>
  <c r="S157"/>
  <c r="S156"/>
  <c r="S155"/>
  <c r="S154"/>
  <c r="S153"/>
  <c r="S152"/>
  <c r="S151"/>
  <c r="S150"/>
  <c r="S149"/>
  <c r="S148"/>
  <c r="S147"/>
  <c r="S146"/>
  <c r="S145"/>
  <c r="S144"/>
  <c r="S143"/>
  <c r="S142"/>
  <c r="S141"/>
  <c r="S140"/>
  <c r="S139"/>
  <c r="S138"/>
  <c r="S137"/>
  <c r="S136"/>
  <c r="S135"/>
  <c r="S134"/>
  <c r="S133"/>
  <c r="S132"/>
  <c r="S131"/>
  <c r="S130"/>
  <c r="S129"/>
  <c r="S128"/>
  <c r="S127"/>
  <c r="S126"/>
  <c r="S125"/>
  <c r="S124"/>
  <c r="S123"/>
  <c r="S122"/>
  <c r="S121"/>
  <c r="S120"/>
  <c r="S119"/>
  <c r="S118"/>
  <c r="S117"/>
  <c r="S116"/>
  <c r="S115"/>
  <c r="S114"/>
  <c r="S113"/>
  <c r="S112"/>
  <c r="S111"/>
  <c r="S110"/>
  <c r="S109"/>
  <c r="S108"/>
  <c r="S107"/>
  <c r="S106"/>
  <c r="S105"/>
  <c r="S104"/>
  <c r="S103"/>
  <c r="S102"/>
  <c r="S101"/>
  <c r="S100"/>
  <c r="S99"/>
  <c r="S98"/>
  <c r="S97"/>
  <c r="S96"/>
  <c r="S95"/>
  <c r="S94"/>
  <c r="S93"/>
  <c r="S92"/>
  <c r="S91"/>
  <c r="S90"/>
  <c r="S89"/>
  <c r="S88"/>
  <c r="S87"/>
  <c r="S86"/>
  <c r="S85"/>
  <c r="S84"/>
  <c r="S83"/>
  <c r="S82"/>
  <c r="S81"/>
  <c r="S80"/>
  <c r="S79"/>
  <c r="S78"/>
  <c r="S77"/>
  <c r="S76"/>
  <c r="S75"/>
  <c r="S74"/>
  <c r="S73"/>
  <c r="S72"/>
  <c r="S71"/>
  <c r="S70"/>
  <c r="S69"/>
  <c r="S68"/>
  <c r="S67"/>
  <c r="S66"/>
  <c r="S65"/>
  <c r="S64"/>
  <c r="S63"/>
  <c r="S62"/>
  <c r="S61"/>
  <c r="S60"/>
  <c r="S59"/>
  <c r="S58"/>
  <c r="S57"/>
  <c r="S56"/>
  <c r="S55"/>
  <c r="S54"/>
  <c r="S53"/>
  <c r="S52"/>
  <c r="S51"/>
  <c r="S50"/>
  <c r="S49"/>
  <c r="S48"/>
  <c r="S47"/>
  <c r="S46"/>
  <c r="S45"/>
  <c r="S44"/>
  <c r="S43"/>
  <c r="S42"/>
  <c r="S41"/>
  <c r="S40"/>
  <c r="S39"/>
  <c r="S38"/>
  <c r="S37"/>
  <c r="S36"/>
  <c r="S35"/>
  <c r="S34"/>
  <c r="S33"/>
  <c r="S32"/>
  <c r="S31"/>
  <c r="S30"/>
  <c r="S29"/>
  <c r="S28"/>
  <c r="S27"/>
  <c r="S26"/>
  <c r="S25"/>
  <c r="S24"/>
  <c r="S23"/>
  <c r="S22"/>
  <c r="S21"/>
  <c r="S20"/>
  <c r="S19"/>
  <c r="S18"/>
  <c r="S17"/>
  <c r="S16"/>
  <c r="S15"/>
  <c r="S14"/>
  <c r="S13"/>
  <c r="T360" i="20"/>
  <c r="T359"/>
  <c r="T358"/>
  <c r="T357"/>
  <c r="T356"/>
  <c r="T355"/>
  <c r="T354"/>
  <c r="T353"/>
  <c r="T352"/>
  <c r="T351"/>
  <c r="T350"/>
  <c r="T349"/>
  <c r="T348"/>
  <c r="T347"/>
  <c r="T346"/>
  <c r="T345"/>
  <c r="T344"/>
  <c r="T343"/>
  <c r="T342"/>
  <c r="T341"/>
  <c r="T340"/>
  <c r="T339"/>
  <c r="T338"/>
  <c r="T337"/>
  <c r="T336"/>
  <c r="T335"/>
  <c r="T334"/>
  <c r="T333"/>
  <c r="T332"/>
  <c r="T331"/>
  <c r="T330"/>
  <c r="T329"/>
  <c r="T328"/>
  <c r="T327"/>
  <c r="T326"/>
  <c r="T325"/>
  <c r="T324"/>
  <c r="T323"/>
  <c r="T322"/>
  <c r="T321"/>
  <c r="T320"/>
  <c r="T319"/>
  <c r="T318"/>
  <c r="T317"/>
  <c r="T316"/>
  <c r="T315"/>
  <c r="T314"/>
  <c r="T313"/>
  <c r="T312"/>
  <c r="T311"/>
  <c r="T310"/>
  <c r="T309"/>
  <c r="T308"/>
  <c r="T307"/>
  <c r="T306"/>
  <c r="T305"/>
  <c r="T304"/>
  <c r="T303"/>
  <c r="T302"/>
  <c r="T301"/>
  <c r="T300"/>
  <c r="T299"/>
  <c r="T298"/>
  <c r="T297"/>
  <c r="T296"/>
  <c r="T295"/>
  <c r="T294"/>
  <c r="T293"/>
  <c r="T292"/>
  <c r="T291"/>
  <c r="T290"/>
  <c r="T289"/>
  <c r="T288"/>
  <c r="T287"/>
  <c r="T286"/>
  <c r="T285"/>
  <c r="T284"/>
  <c r="T283"/>
  <c r="T282"/>
  <c r="T281"/>
  <c r="T280"/>
  <c r="T279"/>
  <c r="T278"/>
  <c r="T277"/>
  <c r="T276"/>
  <c r="T275"/>
  <c r="T274"/>
  <c r="T273"/>
  <c r="T272"/>
  <c r="T271"/>
  <c r="T270"/>
  <c r="T269"/>
  <c r="T268"/>
  <c r="T267"/>
  <c r="T266"/>
  <c r="T265"/>
  <c r="T264"/>
  <c r="T263"/>
  <c r="T262"/>
  <c r="T261"/>
  <c r="T260"/>
  <c r="T259"/>
  <c r="T258"/>
  <c r="T257"/>
  <c r="T256"/>
  <c r="T255"/>
  <c r="T254"/>
  <c r="T253"/>
  <c r="T252"/>
  <c r="T251"/>
  <c r="T250"/>
  <c r="T249"/>
  <c r="T248"/>
  <c r="T247"/>
  <c r="T246"/>
  <c r="T245"/>
  <c r="T244"/>
  <c r="T243"/>
  <c r="T242"/>
  <c r="T241"/>
  <c r="T240"/>
  <c r="T239"/>
  <c r="T238"/>
  <c r="T237"/>
  <c r="T236"/>
  <c r="T235"/>
  <c r="T234"/>
  <c r="T233"/>
  <c r="T232"/>
  <c r="T231"/>
  <c r="T230"/>
  <c r="T229"/>
  <c r="T228"/>
  <c r="T227"/>
  <c r="T226"/>
  <c r="T225"/>
  <c r="T224"/>
  <c r="T223"/>
  <c r="T222"/>
  <c r="T221"/>
  <c r="T220"/>
  <c r="T219"/>
  <c r="T218"/>
  <c r="T217"/>
  <c r="T216"/>
  <c r="T215"/>
  <c r="T214"/>
  <c r="T213"/>
  <c r="T212"/>
  <c r="T211"/>
  <c r="T210"/>
  <c r="T209"/>
  <c r="T208"/>
  <c r="T207"/>
  <c r="T206"/>
  <c r="T205"/>
  <c r="T204"/>
  <c r="T203"/>
  <c r="T202"/>
  <c r="T201"/>
  <c r="T200"/>
  <c r="T199"/>
  <c r="T198"/>
  <c r="T197"/>
  <c r="T196"/>
  <c r="T195"/>
  <c r="T194"/>
  <c r="T193"/>
  <c r="T192"/>
  <c r="T191"/>
  <c r="T190"/>
  <c r="T189"/>
  <c r="T188"/>
  <c r="T187"/>
  <c r="T186"/>
  <c r="T185"/>
  <c r="T184"/>
  <c r="T183"/>
  <c r="T182"/>
  <c r="T181"/>
  <c r="T180"/>
  <c r="T179"/>
  <c r="T178"/>
  <c r="T177"/>
  <c r="T176"/>
  <c r="T175"/>
  <c r="T174"/>
  <c r="T173"/>
  <c r="T172"/>
  <c r="T171"/>
  <c r="T170"/>
  <c r="T169"/>
  <c r="T168"/>
  <c r="T167"/>
  <c r="T166"/>
  <c r="T165"/>
  <c r="T164"/>
  <c r="T163"/>
  <c r="T162"/>
  <c r="T161"/>
  <c r="T160"/>
  <c r="T159"/>
  <c r="T158"/>
  <c r="T157"/>
  <c r="T156"/>
  <c r="T155"/>
  <c r="T154"/>
  <c r="T153"/>
  <c r="T152"/>
  <c r="T151"/>
  <c r="T150"/>
  <c r="T149"/>
  <c r="T148"/>
  <c r="T147"/>
  <c r="T146"/>
  <c r="T145"/>
  <c r="T144"/>
  <c r="T143"/>
  <c r="T142"/>
  <c r="T141"/>
  <c r="T140"/>
  <c r="T139"/>
  <c r="T138"/>
  <c r="T137"/>
  <c r="T136"/>
  <c r="T135"/>
  <c r="T134"/>
  <c r="T133"/>
  <c r="T132"/>
  <c r="T131"/>
  <c r="T130"/>
  <c r="T129"/>
  <c r="T128"/>
  <c r="T127"/>
  <c r="T126"/>
  <c r="T125"/>
  <c r="T124"/>
  <c r="T123"/>
  <c r="T122"/>
  <c r="T121"/>
  <c r="T120"/>
  <c r="T119"/>
  <c r="T118"/>
  <c r="T117"/>
  <c r="T116"/>
  <c r="T115"/>
  <c r="T114"/>
  <c r="T113"/>
  <c r="T112"/>
  <c r="T111"/>
  <c r="T110"/>
  <c r="T109"/>
  <c r="T108"/>
  <c r="T107"/>
  <c r="T106"/>
  <c r="T105"/>
  <c r="T104"/>
  <c r="T103"/>
  <c r="T102"/>
  <c r="T101"/>
  <c r="T100"/>
  <c r="T99"/>
  <c r="T98"/>
  <c r="T97"/>
  <c r="T96"/>
  <c r="T95"/>
  <c r="T94"/>
  <c r="T93"/>
  <c r="T92"/>
  <c r="T91"/>
  <c r="T90"/>
  <c r="T89"/>
  <c r="T88"/>
  <c r="T87"/>
  <c r="T86"/>
  <c r="T85"/>
  <c r="T84"/>
  <c r="T83"/>
  <c r="T82"/>
  <c r="T81"/>
  <c r="T80"/>
  <c r="T79"/>
  <c r="T78"/>
  <c r="T77"/>
  <c r="T76"/>
  <c r="T75"/>
  <c r="T74"/>
  <c r="T73"/>
  <c r="T72"/>
  <c r="T71"/>
  <c r="T70"/>
  <c r="T69"/>
  <c r="T68"/>
  <c r="T67"/>
  <c r="T66"/>
  <c r="T65"/>
  <c r="T64"/>
  <c r="T63"/>
  <c r="T62"/>
  <c r="T61"/>
  <c r="T60"/>
  <c r="T59"/>
  <c r="T58"/>
  <c r="T57"/>
  <c r="T56"/>
  <c r="T55"/>
  <c r="T54"/>
  <c r="T53"/>
  <c r="T52"/>
  <c r="T51"/>
  <c r="T50"/>
  <c r="T49"/>
  <c r="T48"/>
  <c r="T47"/>
  <c r="T46"/>
  <c r="T45"/>
  <c r="T44"/>
  <c r="T43"/>
  <c r="T42"/>
  <c r="T41"/>
  <c r="T40"/>
  <c r="T39"/>
  <c r="T38"/>
  <c r="T37"/>
  <c r="T36"/>
  <c r="T35"/>
  <c r="T34"/>
  <c r="T33"/>
  <c r="T32"/>
  <c r="T31"/>
  <c r="T30"/>
  <c r="T29"/>
  <c r="T28"/>
  <c r="T27"/>
  <c r="T26"/>
  <c r="T25"/>
  <c r="T24"/>
  <c r="T23"/>
  <c r="T22"/>
  <c r="T21"/>
  <c r="T20"/>
  <c r="T19"/>
  <c r="T18"/>
  <c r="T17"/>
  <c r="T16"/>
  <c r="T15"/>
  <c r="T14"/>
  <c r="T13"/>
  <c r="T12"/>
  <c r="T11"/>
  <c r="T10"/>
  <c r="B7" s="1"/>
  <c r="B9" i="19" l="1"/>
  <c r="F218" i="56"/>
  <c r="F216"/>
  <c r="F214"/>
  <c r="F213"/>
  <c r="F211"/>
  <c r="F205"/>
  <c r="F204"/>
  <c r="F203"/>
  <c r="F202"/>
  <c r="F201"/>
  <c r="F200"/>
  <c r="F199"/>
  <c r="F198"/>
  <c r="F197"/>
  <c r="F196"/>
  <c r="F193"/>
  <c r="F192"/>
  <c r="F189"/>
  <c r="F188"/>
  <c r="F49"/>
  <c r="F46"/>
  <c r="F43"/>
  <c r="F42"/>
  <c r="F41"/>
  <c r="F39"/>
  <c r="F38"/>
  <c r="F37"/>
  <c r="F36"/>
  <c r="F35"/>
  <c r="F34"/>
  <c r="F33"/>
  <c r="F32"/>
  <c r="E6"/>
  <c r="E7" s="1"/>
  <c r="E8" s="1"/>
  <c r="E9" s="1"/>
  <c r="E10" s="1"/>
  <c r="E11" s="1"/>
  <c r="E12" s="1"/>
  <c r="E13" s="1"/>
  <c r="E14" s="1"/>
  <c r="E15" s="1"/>
  <c r="E16" s="1"/>
  <c r="E17" s="1"/>
  <c r="E18" s="1"/>
  <c r="E19" s="1"/>
  <c r="E20" s="1"/>
  <c r="E21" s="1"/>
  <c r="E22" s="1"/>
  <c r="E23" s="1"/>
  <c r="E24" s="1"/>
  <c r="E25" s="1"/>
  <c r="E26" s="1"/>
  <c r="E27" s="1"/>
  <c r="E28" s="1"/>
  <c r="E29" s="1"/>
  <c r="E30" s="1"/>
  <c r="E31" s="1"/>
  <c r="E32" s="1"/>
  <c r="E33" s="1"/>
  <c r="E34" s="1"/>
  <c r="E35" s="1"/>
  <c r="E36" s="1"/>
  <c r="E37" s="1"/>
  <c r="E38" s="1"/>
  <c r="E39" s="1"/>
  <c r="E40" s="1"/>
  <c r="E41" s="1"/>
  <c r="E42" s="1"/>
  <c r="E43" s="1"/>
  <c r="E44" s="1"/>
  <c r="E45" s="1"/>
  <c r="E46" s="1"/>
  <c r="E47" s="1"/>
  <c r="E48" s="1"/>
  <c r="E49" s="1"/>
  <c r="E50" s="1"/>
  <c r="E51" s="1"/>
  <c r="E52" s="1"/>
  <c r="E53" s="1"/>
  <c r="E54" s="1"/>
  <c r="E55" s="1"/>
  <c r="E56" s="1"/>
  <c r="E57" s="1"/>
  <c r="E58" s="1"/>
  <c r="E59" s="1"/>
  <c r="E60" s="1"/>
  <c r="E61" s="1"/>
  <c r="E62" s="1"/>
  <c r="E63" s="1"/>
  <c r="E64" s="1"/>
  <c r="E65" s="1"/>
  <c r="E66" s="1"/>
  <c r="E67" s="1"/>
  <c r="E68" s="1"/>
  <c r="E69" s="1"/>
  <c r="E70" s="1"/>
  <c r="E71" s="1"/>
  <c r="E72" s="1"/>
  <c r="E73" s="1"/>
  <c r="E74" s="1"/>
  <c r="E75" s="1"/>
  <c r="E76" s="1"/>
  <c r="E77" s="1"/>
  <c r="E78" s="1"/>
  <c r="E79" s="1"/>
  <c r="E80" s="1"/>
  <c r="E81" s="1"/>
  <c r="E82" s="1"/>
  <c r="E83" s="1"/>
  <c r="E84" s="1"/>
  <c r="E85" s="1"/>
  <c r="E86" s="1"/>
  <c r="E87" s="1"/>
  <c r="E88" s="1"/>
  <c r="E89" s="1"/>
  <c r="E90" s="1"/>
  <c r="E91" s="1"/>
  <c r="E92" s="1"/>
  <c r="E93" s="1"/>
  <c r="E94" s="1"/>
  <c r="E95" s="1"/>
  <c r="E96" s="1"/>
  <c r="E97" s="1"/>
  <c r="E98" s="1"/>
  <c r="E99" s="1"/>
  <c r="E100" s="1"/>
  <c r="E101" s="1"/>
  <c r="E102" s="1"/>
  <c r="E103" s="1"/>
  <c r="E104" s="1"/>
  <c r="E105" s="1"/>
  <c r="E106" s="1"/>
  <c r="E107" s="1"/>
  <c r="E108" s="1"/>
  <c r="E109" s="1"/>
  <c r="E110" s="1"/>
  <c r="E111" s="1"/>
  <c r="E112" s="1"/>
  <c r="E113" s="1"/>
  <c r="E114" s="1"/>
  <c r="E115" s="1"/>
  <c r="E116" s="1"/>
  <c r="E117" s="1"/>
  <c r="E118" s="1"/>
  <c r="E119" s="1"/>
  <c r="E120" s="1"/>
  <c r="E121" s="1"/>
  <c r="E122" s="1"/>
  <c r="E123" s="1"/>
  <c r="E124" s="1"/>
  <c r="E125" s="1"/>
  <c r="E126" s="1"/>
  <c r="E127" s="1"/>
  <c r="E128" s="1"/>
  <c r="E129" s="1"/>
  <c r="E130" s="1"/>
  <c r="E131" s="1"/>
  <c r="E132" s="1"/>
  <c r="E133" s="1"/>
  <c r="E134" s="1"/>
  <c r="E135" s="1"/>
  <c r="E136" s="1"/>
  <c r="E137" s="1"/>
  <c r="E138" s="1"/>
  <c r="E139" s="1"/>
  <c r="E140" s="1"/>
  <c r="E141" s="1"/>
  <c r="E142" s="1"/>
  <c r="E143" s="1"/>
  <c r="E144" s="1"/>
  <c r="E145" s="1"/>
  <c r="E146" s="1"/>
  <c r="E147" s="1"/>
  <c r="E148" s="1"/>
  <c r="E149" s="1"/>
  <c r="E150" s="1"/>
  <c r="E151" s="1"/>
  <c r="E152" s="1"/>
  <c r="E153" s="1"/>
  <c r="E154" s="1"/>
  <c r="E155" s="1"/>
  <c r="E156" s="1"/>
  <c r="E157" s="1"/>
  <c r="E158" s="1"/>
  <c r="E159" s="1"/>
  <c r="E160" s="1"/>
  <c r="E161" s="1"/>
  <c r="E162" s="1"/>
  <c r="E163" s="1"/>
  <c r="E164" s="1"/>
  <c r="E165" s="1"/>
  <c r="E166" s="1"/>
  <c r="E167" s="1"/>
  <c r="E168" s="1"/>
  <c r="E169" s="1"/>
  <c r="E170" s="1"/>
  <c r="E171" s="1"/>
  <c r="E172" s="1"/>
  <c r="E173" s="1"/>
  <c r="E174" s="1"/>
  <c r="E175" s="1"/>
  <c r="E176" s="1"/>
  <c r="E177" s="1"/>
  <c r="E178" s="1"/>
  <c r="E179" s="1"/>
  <c r="E180" s="1"/>
  <c r="E181" s="1"/>
  <c r="E182" s="1"/>
  <c r="E183" s="1"/>
  <c r="E184" s="1"/>
  <c r="E185" s="1"/>
  <c r="E186" s="1"/>
  <c r="E187" s="1"/>
  <c r="E188" s="1"/>
  <c r="E189" s="1"/>
  <c r="E190" s="1"/>
  <c r="E191" s="1"/>
  <c r="E192" s="1"/>
  <c r="E193" s="1"/>
  <c r="E194" s="1"/>
  <c r="E195" s="1"/>
  <c r="E196" s="1"/>
  <c r="E197" s="1"/>
  <c r="E198" s="1"/>
  <c r="E199" s="1"/>
  <c r="E200" s="1"/>
  <c r="E201" s="1"/>
  <c r="E202" s="1"/>
  <c r="E203" s="1"/>
  <c r="E204" s="1"/>
  <c r="E205" s="1"/>
  <c r="E206" s="1"/>
  <c r="E207" s="1"/>
  <c r="E208" s="1"/>
  <c r="E209" s="1"/>
  <c r="E210" s="1"/>
  <c r="E211" s="1"/>
  <c r="E212" s="1"/>
  <c r="E213" s="1"/>
  <c r="E214" s="1"/>
  <c r="E215" s="1"/>
  <c r="E216" s="1"/>
  <c r="E217" s="1"/>
  <c r="E218" s="1"/>
  <c r="E219" s="1"/>
  <c r="E220" s="1"/>
  <c r="E221" s="1"/>
  <c r="E222" s="1"/>
  <c r="E5"/>
  <c r="F14"/>
  <c r="D18" i="7" l="1"/>
  <c r="D7"/>
  <c r="D32" i="59" s="1"/>
  <c r="C32" s="1"/>
  <c r="D25" i="7"/>
  <c r="D10" i="55"/>
  <c r="E10"/>
  <c r="G24"/>
  <c r="H24"/>
  <c r="I24"/>
  <c r="J24"/>
  <c r="K24"/>
  <c r="L24"/>
  <c r="M24"/>
  <c r="N24"/>
  <c r="O24"/>
  <c r="P24"/>
  <c r="F24"/>
  <c r="D24" s="1"/>
  <c r="G9"/>
  <c r="G8"/>
  <c r="G38"/>
  <c r="H9"/>
  <c r="H8" s="1"/>
  <c r="H38" s="1"/>
  <c r="I9"/>
  <c r="I8"/>
  <c r="J9"/>
  <c r="J8"/>
  <c r="J38" s="1"/>
  <c r="K9"/>
  <c r="K8" s="1"/>
  <c r="K38"/>
  <c r="L9"/>
  <c r="L8" s="1"/>
  <c r="L38" s="1"/>
  <c r="M9"/>
  <c r="M8" s="1"/>
  <c r="N9"/>
  <c r="N8"/>
  <c r="N38" s="1"/>
  <c r="O9"/>
  <c r="O8" s="1"/>
  <c r="O38" s="1"/>
  <c r="P9"/>
  <c r="P8" s="1"/>
  <c r="F9"/>
  <c r="F8"/>
  <c r="E37"/>
  <c r="D37"/>
  <c r="E36"/>
  <c r="D36"/>
  <c r="E35"/>
  <c r="D35"/>
  <c r="E34"/>
  <c r="D34"/>
  <c r="E33"/>
  <c r="D33"/>
  <c r="E32"/>
  <c r="D32"/>
  <c r="E31"/>
  <c r="D31"/>
  <c r="E30"/>
  <c r="D30"/>
  <c r="E29"/>
  <c r="D29"/>
  <c r="E28"/>
  <c r="D28"/>
  <c r="E27"/>
  <c r="D27"/>
  <c r="E26"/>
  <c r="D26"/>
  <c r="E25"/>
  <c r="D25"/>
  <c r="E23"/>
  <c r="D23"/>
  <c r="E22"/>
  <c r="D22"/>
  <c r="E21"/>
  <c r="D21"/>
  <c r="E20"/>
  <c r="D20"/>
  <c r="E19"/>
  <c r="D19"/>
  <c r="E18"/>
  <c r="D18"/>
  <c r="E17"/>
  <c r="D17"/>
  <c r="E16"/>
  <c r="D16"/>
  <c r="E15"/>
  <c r="D15"/>
  <c r="E14"/>
  <c r="D14"/>
  <c r="E13"/>
  <c r="D13"/>
  <c r="E12"/>
  <c r="D12"/>
  <c r="E11"/>
  <c r="D11"/>
  <c r="F9" i="44"/>
  <c r="E10"/>
  <c r="E11"/>
  <c r="E12"/>
  <c r="E13"/>
  <c r="E14"/>
  <c r="E15"/>
  <c r="E16"/>
  <c r="E17"/>
  <c r="E18"/>
  <c r="E19"/>
  <c r="E20"/>
  <c r="E21"/>
  <c r="E22"/>
  <c r="E23"/>
  <c r="E25"/>
  <c r="E26"/>
  <c r="E27"/>
  <c r="E28"/>
  <c r="E29"/>
  <c r="E30"/>
  <c r="E31"/>
  <c r="E32"/>
  <c r="E33"/>
  <c r="E34"/>
  <c r="E35"/>
  <c r="E36"/>
  <c r="E37"/>
  <c r="D11"/>
  <c r="D12"/>
  <c r="D13"/>
  <c r="D14"/>
  <c r="D15"/>
  <c r="D16"/>
  <c r="D17"/>
  <c r="D18"/>
  <c r="D19"/>
  <c r="D20"/>
  <c r="D21"/>
  <c r="D22"/>
  <c r="D23"/>
  <c r="D25"/>
  <c r="D26"/>
  <c r="D27"/>
  <c r="D28"/>
  <c r="D29"/>
  <c r="D30"/>
  <c r="D31"/>
  <c r="D32"/>
  <c r="D33"/>
  <c r="D34"/>
  <c r="D35"/>
  <c r="D36"/>
  <c r="D37"/>
  <c r="D10"/>
  <c r="D27" i="51"/>
  <c r="D35" s="1"/>
  <c r="E8"/>
  <c r="D16"/>
  <c r="E15"/>
  <c r="C4" i="55"/>
  <c r="C3"/>
  <c r="C2"/>
  <c r="C4" i="53"/>
  <c r="O10"/>
  <c r="J10"/>
  <c r="I10"/>
  <c r="D246" i="59" s="1"/>
  <c r="C246" s="1"/>
  <c r="G10" i="53"/>
  <c r="C3"/>
  <c r="C2"/>
  <c r="E10" i="15"/>
  <c r="E9"/>
  <c r="G9" i="14"/>
  <c r="D9" s="1"/>
  <c r="H16" i="13"/>
  <c r="G9"/>
  <c r="I14" i="27"/>
  <c r="I11"/>
  <c r="D24" i="33"/>
  <c r="F34"/>
  <c r="D7" i="35"/>
  <c r="D24" s="1"/>
  <c r="K9" i="50"/>
  <c r="L9"/>
  <c r="M9"/>
  <c r="N9"/>
  <c r="J9"/>
  <c r="L9" i="48"/>
  <c r="M9" i="49"/>
  <c r="N9"/>
  <c r="L9"/>
  <c r="K9"/>
  <c r="J9"/>
  <c r="N9" i="48"/>
  <c r="M9"/>
  <c r="K9"/>
  <c r="J9"/>
  <c r="D22" i="9"/>
  <c r="D50" i="59" s="1"/>
  <c r="C50" s="1"/>
  <c r="D87" i="5"/>
  <c r="D21" i="33"/>
  <c r="D27"/>
  <c r="F28"/>
  <c r="F29"/>
  <c r="F30"/>
  <c r="F31"/>
  <c r="F32"/>
  <c r="F33"/>
  <c r="H8" i="15"/>
  <c r="C4" i="5"/>
  <c r="C4" i="51"/>
  <c r="C3"/>
  <c r="C2"/>
  <c r="D32"/>
  <c r="D23"/>
  <c r="D22"/>
  <c r="D21"/>
  <c r="D20"/>
  <c r="D19"/>
  <c r="D18"/>
  <c r="D17"/>
  <c r="I15"/>
  <c r="H15"/>
  <c r="G15"/>
  <c r="F15"/>
  <c r="D14"/>
  <c r="D13"/>
  <c r="D12"/>
  <c r="D11"/>
  <c r="D10"/>
  <c r="D9"/>
  <c r="I8"/>
  <c r="H8"/>
  <c r="G8"/>
  <c r="F8"/>
  <c r="C4" i="50"/>
  <c r="C3"/>
  <c r="C2"/>
  <c r="C4" i="49"/>
  <c r="C3"/>
  <c r="C2"/>
  <c r="C4" i="48"/>
  <c r="C3"/>
  <c r="C2"/>
  <c r="C4" i="47"/>
  <c r="C3"/>
  <c r="C2"/>
  <c r="D27"/>
  <c r="D22"/>
  <c r="D9"/>
  <c r="C4" i="44"/>
  <c r="C3"/>
  <c r="C2"/>
  <c r="P24"/>
  <c r="O24"/>
  <c r="N24"/>
  <c r="M24"/>
  <c r="L24"/>
  <c r="K24"/>
  <c r="J24"/>
  <c r="D24" s="1"/>
  <c r="I24"/>
  <c r="H24"/>
  <c r="G24"/>
  <c r="P9"/>
  <c r="P8" s="1"/>
  <c r="P38" s="1"/>
  <c r="O9"/>
  <c r="O8" s="1"/>
  <c r="O38"/>
  <c r="N9"/>
  <c r="N8" s="1"/>
  <c r="M9"/>
  <c r="M8"/>
  <c r="M38" s="1"/>
  <c r="L9"/>
  <c r="L8" s="1"/>
  <c r="L38" s="1"/>
  <c r="K9"/>
  <c r="K8" s="1"/>
  <c r="K38"/>
  <c r="J9"/>
  <c r="J8" s="1"/>
  <c r="I9"/>
  <c r="I8"/>
  <c r="I38" s="1"/>
  <c r="H9"/>
  <c r="H8" s="1"/>
  <c r="H38" s="1"/>
  <c r="G9"/>
  <c r="D37" i="6"/>
  <c r="D77" i="5"/>
  <c r="D227" i="59" s="1"/>
  <c r="C227" s="1"/>
  <c r="C2" i="42"/>
  <c r="C3"/>
  <c r="C4"/>
  <c r="G10"/>
  <c r="H10"/>
  <c r="I10"/>
  <c r="D245" i="59" s="1"/>
  <c r="C245" s="1"/>
  <c r="J10" i="42"/>
  <c r="O10"/>
  <c r="Q10"/>
  <c r="C2" i="41"/>
  <c r="C3"/>
  <c r="C4"/>
  <c r="F8"/>
  <c r="G8"/>
  <c r="H8"/>
  <c r="I8"/>
  <c r="J8"/>
  <c r="K8"/>
  <c r="L8"/>
  <c r="M8"/>
  <c r="N8"/>
  <c r="O8"/>
  <c r="D9"/>
  <c r="E9"/>
  <c r="D10"/>
  <c r="E10"/>
  <c r="D11"/>
  <c r="E11"/>
  <c r="D12"/>
  <c r="E12"/>
  <c r="D14"/>
  <c r="E14"/>
  <c r="F16"/>
  <c r="G16"/>
  <c r="H16"/>
  <c r="I16"/>
  <c r="J16"/>
  <c r="K16"/>
  <c r="L16"/>
  <c r="M16"/>
  <c r="N16"/>
  <c r="O16"/>
  <c r="D17"/>
  <c r="E17"/>
  <c r="D18"/>
  <c r="E18"/>
  <c r="D19"/>
  <c r="E19"/>
  <c r="D20"/>
  <c r="E20"/>
  <c r="D21"/>
  <c r="E21"/>
  <c r="F22"/>
  <c r="G22"/>
  <c r="H22"/>
  <c r="I22"/>
  <c r="J22"/>
  <c r="K22"/>
  <c r="L22"/>
  <c r="M22"/>
  <c r="N22"/>
  <c r="O22"/>
  <c r="D23"/>
  <c r="E23"/>
  <c r="D24"/>
  <c r="E24"/>
  <c r="D25"/>
  <c r="E25"/>
  <c r="D26"/>
  <c r="E26"/>
  <c r="D27"/>
  <c r="E27"/>
  <c r="C2" i="40"/>
  <c r="C3"/>
  <c r="C4"/>
  <c r="F8"/>
  <c r="G8"/>
  <c r="H8"/>
  <c r="I8"/>
  <c r="J8"/>
  <c r="K8"/>
  <c r="L8"/>
  <c r="M8"/>
  <c r="N8"/>
  <c r="O8"/>
  <c r="D9"/>
  <c r="E9"/>
  <c r="D10"/>
  <c r="E10"/>
  <c r="D11"/>
  <c r="E11"/>
  <c r="D12"/>
  <c r="E12"/>
  <c r="D14"/>
  <c r="E14"/>
  <c r="F16"/>
  <c r="G16"/>
  <c r="H16"/>
  <c r="I16"/>
  <c r="J16"/>
  <c r="K16"/>
  <c r="L16"/>
  <c r="M16"/>
  <c r="N16"/>
  <c r="O16"/>
  <c r="D17"/>
  <c r="E17"/>
  <c r="D18"/>
  <c r="E18"/>
  <c r="D19"/>
  <c r="E19"/>
  <c r="D20"/>
  <c r="E20"/>
  <c r="D21"/>
  <c r="E21"/>
  <c r="F22"/>
  <c r="G22"/>
  <c r="H22"/>
  <c r="H15" s="1"/>
  <c r="H13" s="1"/>
  <c r="I22"/>
  <c r="J22"/>
  <c r="K22"/>
  <c r="L22"/>
  <c r="L15" s="1"/>
  <c r="L13" s="1"/>
  <c r="M22"/>
  <c r="N22"/>
  <c r="O22"/>
  <c r="D23"/>
  <c r="E23"/>
  <c r="D24"/>
  <c r="E24"/>
  <c r="D25"/>
  <c r="E25"/>
  <c r="D26"/>
  <c r="E26"/>
  <c r="D27"/>
  <c r="E27"/>
  <c r="C2" i="39"/>
  <c r="C3"/>
  <c r="C4"/>
  <c r="D11"/>
  <c r="L11" s="1"/>
  <c r="E11"/>
  <c r="D12"/>
  <c r="L12" s="1"/>
  <c r="E12"/>
  <c r="D13"/>
  <c r="E13"/>
  <c r="D14"/>
  <c r="L14" s="1"/>
  <c r="E14"/>
  <c r="D15"/>
  <c r="L15" s="1"/>
  <c r="E15"/>
  <c r="D16"/>
  <c r="E16"/>
  <c r="L16"/>
  <c r="D17"/>
  <c r="E17"/>
  <c r="M17" s="1"/>
  <c r="D18"/>
  <c r="E18"/>
  <c r="M18" s="1"/>
  <c r="D19"/>
  <c r="E19"/>
  <c r="M19" s="1"/>
  <c r="D20"/>
  <c r="E20"/>
  <c r="L20" s="1"/>
  <c r="D21"/>
  <c r="E21"/>
  <c r="D22"/>
  <c r="E22"/>
  <c r="D23"/>
  <c r="E23"/>
  <c r="L23"/>
  <c r="D24"/>
  <c r="E24"/>
  <c r="D25"/>
  <c r="E25"/>
  <c r="M25" s="1"/>
  <c r="D26"/>
  <c r="E26"/>
  <c r="M26" s="1"/>
  <c r="D27"/>
  <c r="E27"/>
  <c r="D28"/>
  <c r="E28"/>
  <c r="D29"/>
  <c r="E29"/>
  <c r="D30"/>
  <c r="E30"/>
  <c r="D31"/>
  <c r="E31"/>
  <c r="D32"/>
  <c r="E32"/>
  <c r="D33"/>
  <c r="E33"/>
  <c r="D34"/>
  <c r="E34"/>
  <c r="M34" s="1"/>
  <c r="D35"/>
  <c r="E35"/>
  <c r="D36"/>
  <c r="E36"/>
  <c r="L36" s="1"/>
  <c r="D37"/>
  <c r="E37"/>
  <c r="D38"/>
  <c r="E38"/>
  <c r="L38" s="1"/>
  <c r="D39"/>
  <c r="E39"/>
  <c r="D40"/>
  <c r="E40"/>
  <c r="L40" s="1"/>
  <c r="D41"/>
  <c r="E41"/>
  <c r="M41" s="1"/>
  <c r="D42"/>
  <c r="E42"/>
  <c r="D43"/>
  <c r="E43"/>
  <c r="D44"/>
  <c r="E44"/>
  <c r="L44" s="1"/>
  <c r="C2" i="38"/>
  <c r="C3"/>
  <c r="C4"/>
  <c r="D9"/>
  <c r="D15" s="1"/>
  <c r="C2" i="37"/>
  <c r="C3"/>
  <c r="C4"/>
  <c r="C2" i="36"/>
  <c r="C3"/>
  <c r="C4"/>
  <c r="D27"/>
  <c r="D40"/>
  <c r="C2" i="35"/>
  <c r="C3"/>
  <c r="C4"/>
  <c r="D31"/>
  <c r="C2" i="34"/>
  <c r="C3"/>
  <c r="C4"/>
  <c r="G7"/>
  <c r="G8"/>
  <c r="G9"/>
  <c r="G10"/>
  <c r="G11"/>
  <c r="G12"/>
  <c r="G13"/>
  <c r="G14"/>
  <c r="G15"/>
  <c r="G16"/>
  <c r="G17"/>
  <c r="G18"/>
  <c r="G19"/>
  <c r="G20"/>
  <c r="G21"/>
  <c r="G22"/>
  <c r="G23"/>
  <c r="G24"/>
  <c r="G25"/>
  <c r="G26"/>
  <c r="G27"/>
  <c r="G28"/>
  <c r="G29"/>
  <c r="G30"/>
  <c r="G31"/>
  <c r="G32"/>
  <c r="G33"/>
  <c r="G34"/>
  <c r="G35"/>
  <c r="G36"/>
  <c r="G37"/>
  <c r="G38"/>
  <c r="G39"/>
  <c r="D40"/>
  <c r="C2" i="33"/>
  <c r="C3"/>
  <c r="C4"/>
  <c r="F9"/>
  <c r="F10"/>
  <c r="C2" i="32"/>
  <c r="C3"/>
  <c r="C4"/>
  <c r="F7"/>
  <c r="F8"/>
  <c r="F9"/>
  <c r="F10"/>
  <c r="F11"/>
  <c r="F12"/>
  <c r="F13"/>
  <c r="F14"/>
  <c r="F15"/>
  <c r="F16"/>
  <c r="F17"/>
  <c r="F18"/>
  <c r="F19"/>
  <c r="C2" i="31"/>
  <c r="C3"/>
  <c r="C4"/>
  <c r="F7"/>
  <c r="F20" i="33" s="1"/>
  <c r="F8" i="31"/>
  <c r="F9"/>
  <c r="D10"/>
  <c r="F11"/>
  <c r="F12"/>
  <c r="F13"/>
  <c r="F14"/>
  <c r="D15"/>
  <c r="F16"/>
  <c r="F17"/>
  <c r="F15"/>
  <c r="F18"/>
  <c r="F19"/>
  <c r="D20"/>
  <c r="F21"/>
  <c r="F22"/>
  <c r="F23"/>
  <c r="F24"/>
  <c r="D25"/>
  <c r="F26"/>
  <c r="F27"/>
  <c r="F28"/>
  <c r="F25" s="1"/>
  <c r="C2" i="30"/>
  <c r="C3"/>
  <c r="C4"/>
  <c r="C2" i="29"/>
  <c r="C3"/>
  <c r="C4"/>
  <c r="I11"/>
  <c r="I12"/>
  <c r="I14"/>
  <c r="I15"/>
  <c r="I18"/>
  <c r="I19"/>
  <c r="I21"/>
  <c r="I22"/>
  <c r="I23"/>
  <c r="D205" i="59" s="1"/>
  <c r="C205" s="1"/>
  <c r="I31" i="29"/>
  <c r="I32"/>
  <c r="I34"/>
  <c r="I35"/>
  <c r="I38"/>
  <c r="I39"/>
  <c r="I41"/>
  <c r="I42"/>
  <c r="C2" i="28"/>
  <c r="C3"/>
  <c r="C4"/>
  <c r="I11"/>
  <c r="I12"/>
  <c r="I14"/>
  <c r="I15"/>
  <c r="I18"/>
  <c r="I19"/>
  <c r="I21"/>
  <c r="I22"/>
  <c r="I31"/>
  <c r="I32"/>
  <c r="I34"/>
  <c r="I35"/>
  <c r="I38"/>
  <c r="I39"/>
  <c r="I41"/>
  <c r="I42"/>
  <c r="C2" i="27"/>
  <c r="C3"/>
  <c r="C4"/>
  <c r="I12"/>
  <c r="I15"/>
  <c r="I18"/>
  <c r="I19"/>
  <c r="I21"/>
  <c r="I22"/>
  <c r="I31"/>
  <c r="I32"/>
  <c r="I34"/>
  <c r="I35"/>
  <c r="I38"/>
  <c r="I39"/>
  <c r="I41"/>
  <c r="I42"/>
  <c r="C2" i="26"/>
  <c r="C3"/>
  <c r="C4"/>
  <c r="K10"/>
  <c r="K11"/>
  <c r="K12"/>
  <c r="K13"/>
  <c r="K14"/>
  <c r="K15"/>
  <c r="K16"/>
  <c r="K17"/>
  <c r="K18"/>
  <c r="K19"/>
  <c r="K20"/>
  <c r="K21"/>
  <c r="K22"/>
  <c r="K23"/>
  <c r="K24"/>
  <c r="K25"/>
  <c r="D26"/>
  <c r="E26"/>
  <c r="F26"/>
  <c r="G26"/>
  <c r="H26"/>
  <c r="I26"/>
  <c r="J26"/>
  <c r="D27"/>
  <c r="E27"/>
  <c r="F27"/>
  <c r="G27"/>
  <c r="H27"/>
  <c r="I27"/>
  <c r="J27"/>
  <c r="C2" i="25"/>
  <c r="C3"/>
  <c r="C4"/>
  <c r="L10"/>
  <c r="L11"/>
  <c r="L12"/>
  <c r="L13"/>
  <c r="L14"/>
  <c r="L15"/>
  <c r="L16"/>
  <c r="L17"/>
  <c r="L18"/>
  <c r="L19"/>
  <c r="L20"/>
  <c r="L21"/>
  <c r="L22"/>
  <c r="L23"/>
  <c r="L24"/>
  <c r="L25"/>
  <c r="L26"/>
  <c r="L27"/>
  <c r="D28"/>
  <c r="E28"/>
  <c r="F28"/>
  <c r="G28"/>
  <c r="H28"/>
  <c r="I28"/>
  <c r="J28"/>
  <c r="K28"/>
  <c r="D29"/>
  <c r="E29"/>
  <c r="F29"/>
  <c r="G29"/>
  <c r="H29"/>
  <c r="I29"/>
  <c r="J29"/>
  <c r="K29"/>
  <c r="C2" i="24"/>
  <c r="C3"/>
  <c r="C4"/>
  <c r="K10"/>
  <c r="K11"/>
  <c r="K12"/>
  <c r="D189" i="59" s="1"/>
  <c r="C189" s="1"/>
  <c r="K13" i="24"/>
  <c r="D190" i="59" s="1"/>
  <c r="C190" s="1"/>
  <c r="K14" i="24"/>
  <c r="K15"/>
  <c r="K16"/>
  <c r="K17"/>
  <c r="K18"/>
  <c r="K19"/>
  <c r="K20"/>
  <c r="D197" i="59" s="1"/>
  <c r="C197" s="1"/>
  <c r="K21" i="24"/>
  <c r="D198" i="59" s="1"/>
  <c r="C198" s="1"/>
  <c r="K22" i="24"/>
  <c r="K23"/>
  <c r="K24"/>
  <c r="K25"/>
  <c r="D26"/>
  <c r="E26"/>
  <c r="F26"/>
  <c r="G26"/>
  <c r="H26"/>
  <c r="I26"/>
  <c r="J26"/>
  <c r="D27"/>
  <c r="E27"/>
  <c r="F27"/>
  <c r="G27"/>
  <c r="H27"/>
  <c r="I27"/>
  <c r="J27"/>
  <c r="C2" i="23"/>
  <c r="C3"/>
  <c r="C4"/>
  <c r="L10"/>
  <c r="L11"/>
  <c r="L12"/>
  <c r="D175" i="59" s="1"/>
  <c r="C175" s="1"/>
  <c r="L13" i="23"/>
  <c r="D176" i="59" s="1"/>
  <c r="C176" s="1"/>
  <c r="L14" i="23"/>
  <c r="L15"/>
  <c r="L16"/>
  <c r="L17"/>
  <c r="L18"/>
  <c r="L19"/>
  <c r="L20"/>
  <c r="D183" i="59" s="1"/>
  <c r="C183" s="1"/>
  <c r="L21" i="23"/>
  <c r="D184" i="59" s="1"/>
  <c r="C184" s="1"/>
  <c r="L22" i="23"/>
  <c r="D185" i="59" s="1"/>
  <c r="C185" s="1"/>
  <c r="L23" i="23"/>
  <c r="D186" i="59" s="1"/>
  <c r="C186" s="1"/>
  <c r="L24" i="23"/>
  <c r="L25"/>
  <c r="D158" i="59" s="1"/>
  <c r="C158" s="1"/>
  <c r="L26" i="23"/>
  <c r="L27"/>
  <c r="D28"/>
  <c r="E28"/>
  <c r="F28"/>
  <c r="G28"/>
  <c r="H28"/>
  <c r="I28"/>
  <c r="J28"/>
  <c r="K28"/>
  <c r="D29"/>
  <c r="E29"/>
  <c r="F29"/>
  <c r="G29"/>
  <c r="H29"/>
  <c r="I29"/>
  <c r="J29"/>
  <c r="K29"/>
  <c r="C2" i="22"/>
  <c r="C3"/>
  <c r="C4"/>
  <c r="J9"/>
  <c r="K9"/>
  <c r="J10"/>
  <c r="K10"/>
  <c r="J11"/>
  <c r="K11"/>
  <c r="J12"/>
  <c r="K12"/>
  <c r="J13"/>
  <c r="K13"/>
  <c r="J14"/>
  <c r="K14"/>
  <c r="J15"/>
  <c r="K15"/>
  <c r="J16"/>
  <c r="K16"/>
  <c r="J17"/>
  <c r="K17"/>
  <c r="J18"/>
  <c r="K18"/>
  <c r="J19"/>
  <c r="K19"/>
  <c r="J20"/>
  <c r="K20"/>
  <c r="J21"/>
  <c r="K21"/>
  <c r="D22"/>
  <c r="D137" i="59" s="1"/>
  <c r="C137" s="1"/>
  <c r="E22" i="22"/>
  <c r="D138" i="59" s="1"/>
  <c r="C138" s="1"/>
  <c r="F22" i="22"/>
  <c r="D139" i="59" s="1"/>
  <c r="C139" s="1"/>
  <c r="G22" i="22"/>
  <c r="D140" i="59" s="1"/>
  <c r="C140" s="1"/>
  <c r="H22" i="22"/>
  <c r="D141" i="59" s="1"/>
  <c r="C141" s="1"/>
  <c r="I22" i="22"/>
  <c r="D142" i="59" s="1"/>
  <c r="C142" s="1"/>
  <c r="C2" i="21"/>
  <c r="C3"/>
  <c r="C4"/>
  <c r="L9"/>
  <c r="M9"/>
  <c r="L10"/>
  <c r="M10"/>
  <c r="L11"/>
  <c r="M11"/>
  <c r="L12"/>
  <c r="M12"/>
  <c r="L13"/>
  <c r="M13"/>
  <c r="L14"/>
  <c r="M14"/>
  <c r="L15"/>
  <c r="M15"/>
  <c r="L16"/>
  <c r="M16"/>
  <c r="L17"/>
  <c r="M17"/>
  <c r="L18"/>
  <c r="M18"/>
  <c r="L19"/>
  <c r="M19"/>
  <c r="L20"/>
  <c r="M20"/>
  <c r="L21"/>
  <c r="M21"/>
  <c r="D22"/>
  <c r="E22"/>
  <c r="F22"/>
  <c r="G22"/>
  <c r="H22"/>
  <c r="I22"/>
  <c r="J22"/>
  <c r="K22"/>
  <c r="N22"/>
  <c r="C2" i="20"/>
  <c r="C3"/>
  <c r="C4"/>
  <c r="I9"/>
  <c r="J9"/>
  <c r="K9"/>
  <c r="P9"/>
  <c r="R9"/>
  <c r="C2" i="19"/>
  <c r="C3"/>
  <c r="C4"/>
  <c r="G11"/>
  <c r="H11"/>
  <c r="I11"/>
  <c r="J11"/>
  <c r="O11"/>
  <c r="Q11"/>
  <c r="C2" i="18"/>
  <c r="C3"/>
  <c r="C4"/>
  <c r="C2" i="17"/>
  <c r="C3"/>
  <c r="C4"/>
  <c r="D9"/>
  <c r="E9"/>
  <c r="E12" i="18"/>
  <c r="E15" s="1"/>
  <c r="F9" i="17"/>
  <c r="D11" i="18" s="1"/>
  <c r="G9" i="17"/>
  <c r="I9" s="1"/>
  <c r="H10"/>
  <c r="I10"/>
  <c r="H11"/>
  <c r="I11"/>
  <c r="H12"/>
  <c r="I12"/>
  <c r="H13"/>
  <c r="I13"/>
  <c r="H14"/>
  <c r="I14"/>
  <c r="H15"/>
  <c r="I15"/>
  <c r="H16"/>
  <c r="I16"/>
  <c r="H17"/>
  <c r="I17"/>
  <c r="H18"/>
  <c r="I18"/>
  <c r="H19"/>
  <c r="I19"/>
  <c r="H20"/>
  <c r="I20"/>
  <c r="H21"/>
  <c r="I21"/>
  <c r="H22"/>
  <c r="I22"/>
  <c r="H23"/>
  <c r="I23"/>
  <c r="C2" i="16"/>
  <c r="C3"/>
  <c r="C4"/>
  <c r="F8"/>
  <c r="G8"/>
  <c r="H8"/>
  <c r="I8"/>
  <c r="J8"/>
  <c r="K8"/>
  <c r="L8"/>
  <c r="M8"/>
  <c r="N8"/>
  <c r="O8"/>
  <c r="D9"/>
  <c r="E9"/>
  <c r="D10"/>
  <c r="E10"/>
  <c r="D11"/>
  <c r="E11"/>
  <c r="D12"/>
  <c r="E12"/>
  <c r="D13"/>
  <c r="E13"/>
  <c r="D14"/>
  <c r="E14"/>
  <c r="D15"/>
  <c r="D110" i="59" s="1"/>
  <c r="C110" s="1"/>
  <c r="E15" i="16"/>
  <c r="D111" i="59" s="1"/>
  <c r="C111" s="1"/>
  <c r="F16" i="16"/>
  <c r="G16"/>
  <c r="H16"/>
  <c r="I16"/>
  <c r="J16"/>
  <c r="K16"/>
  <c r="L16"/>
  <c r="M16"/>
  <c r="N16"/>
  <c r="O16"/>
  <c r="D17"/>
  <c r="E17"/>
  <c r="D115" i="59" s="1"/>
  <c r="C115" s="1"/>
  <c r="D18" i="16"/>
  <c r="E18"/>
  <c r="D116" i="59" s="1"/>
  <c r="C116" s="1"/>
  <c r="D19" i="16"/>
  <c r="E19"/>
  <c r="D117" i="59" s="1"/>
  <c r="C117" s="1"/>
  <c r="D20" i="16"/>
  <c r="E20"/>
  <c r="D118" i="59" s="1"/>
  <c r="C118" s="1"/>
  <c r="D21" i="16"/>
  <c r="E21"/>
  <c r="D119" i="59" s="1"/>
  <c r="C119" s="1"/>
  <c r="D22" i="16"/>
  <c r="E22"/>
  <c r="D120" i="59" s="1"/>
  <c r="C120" s="1"/>
  <c r="D23" i="16"/>
  <c r="E23"/>
  <c r="D121" i="59" s="1"/>
  <c r="C121" s="1"/>
  <c r="D24" i="16"/>
  <c r="E24"/>
  <c r="D122" i="59" s="1"/>
  <c r="C122" s="1"/>
  <c r="D25" i="16"/>
  <c r="E25"/>
  <c r="D123" i="59" s="1"/>
  <c r="C123" s="1"/>
  <c r="D26" i="16"/>
  <c r="E26"/>
  <c r="D27"/>
  <c r="E27"/>
  <c r="D28"/>
  <c r="E28"/>
  <c r="C2" i="15"/>
  <c r="C3"/>
  <c r="C4"/>
  <c r="F8"/>
  <c r="G8"/>
  <c r="I8"/>
  <c r="J8"/>
  <c r="K8"/>
  <c r="L8"/>
  <c r="M8"/>
  <c r="N8"/>
  <c r="O8"/>
  <c r="D9"/>
  <c r="D10"/>
  <c r="D11"/>
  <c r="E11"/>
  <c r="D12"/>
  <c r="E12"/>
  <c r="D13"/>
  <c r="E13"/>
  <c r="D14"/>
  <c r="E14"/>
  <c r="D15"/>
  <c r="D78" i="59" s="1"/>
  <c r="C78" s="1"/>
  <c r="E15" i="15"/>
  <c r="D80" i="59" s="1"/>
  <c r="C80" s="1"/>
  <c r="F16" i="15"/>
  <c r="G16"/>
  <c r="H16"/>
  <c r="I16"/>
  <c r="J16"/>
  <c r="K16"/>
  <c r="L16"/>
  <c r="M16"/>
  <c r="N16"/>
  <c r="O16"/>
  <c r="D17"/>
  <c r="E17"/>
  <c r="D18"/>
  <c r="E18"/>
  <c r="D19"/>
  <c r="E19"/>
  <c r="D20"/>
  <c r="E20"/>
  <c r="D21"/>
  <c r="E21"/>
  <c r="D22"/>
  <c r="E22"/>
  <c r="D23"/>
  <c r="E23"/>
  <c r="D24"/>
  <c r="E24"/>
  <c r="D25"/>
  <c r="E25"/>
  <c r="D26"/>
  <c r="E26"/>
  <c r="D27"/>
  <c r="E27"/>
  <c r="D28"/>
  <c r="E28"/>
  <c r="C2" i="14"/>
  <c r="C3"/>
  <c r="C4"/>
  <c r="E8"/>
  <c r="F8"/>
  <c r="D64" i="59" s="1"/>
  <c r="C64" s="1"/>
  <c r="H8" i="14"/>
  <c r="I8"/>
  <c r="J8"/>
  <c r="K8"/>
  <c r="L8"/>
  <c r="G10"/>
  <c r="D10" s="1"/>
  <c r="D105" i="59" s="1"/>
  <c r="C105" s="1"/>
  <c r="G11" i="14"/>
  <c r="D11" s="1"/>
  <c r="D106" i="59" s="1"/>
  <c r="C106" s="1"/>
  <c r="G12" i="14"/>
  <c r="D12" s="1"/>
  <c r="D107" i="59" s="1"/>
  <c r="C107" s="1"/>
  <c r="G13" i="14"/>
  <c r="D13" s="1"/>
  <c r="D108" i="59" s="1"/>
  <c r="C108" s="1"/>
  <c r="G14" i="14"/>
  <c r="D14" s="1"/>
  <c r="D109" i="59" s="1"/>
  <c r="C109" s="1"/>
  <c r="G15" i="14"/>
  <c r="D15" s="1"/>
  <c r="D112" i="59" s="1"/>
  <c r="C112" s="1"/>
  <c r="E16" i="14"/>
  <c r="F16"/>
  <c r="H16"/>
  <c r="I16"/>
  <c r="J16"/>
  <c r="K16"/>
  <c r="L16"/>
  <c r="G17"/>
  <c r="D17" s="1"/>
  <c r="G18"/>
  <c r="D18" s="1"/>
  <c r="G19"/>
  <c r="D19" s="1"/>
  <c r="G20"/>
  <c r="D20" s="1"/>
  <c r="G21"/>
  <c r="D21" s="1"/>
  <c r="G22"/>
  <c r="D22" s="1"/>
  <c r="G23"/>
  <c r="D23" s="1"/>
  <c r="G24"/>
  <c r="D24" s="1"/>
  <c r="G25"/>
  <c r="D25" s="1"/>
  <c r="G26"/>
  <c r="D26" s="1"/>
  <c r="G27"/>
  <c r="D27" s="1"/>
  <c r="D125" i="59" s="1"/>
  <c r="C125" s="1"/>
  <c r="G28" i="14"/>
  <c r="D28" s="1"/>
  <c r="C2" i="13"/>
  <c r="C3"/>
  <c r="C4"/>
  <c r="E8"/>
  <c r="F8"/>
  <c r="D61" i="59" s="1"/>
  <c r="C61" s="1"/>
  <c r="H8" i="13"/>
  <c r="I8"/>
  <c r="J8"/>
  <c r="K8"/>
  <c r="L8"/>
  <c r="D9"/>
  <c r="D71" i="59" s="1"/>
  <c r="C71" s="1"/>
  <c r="G10" i="13"/>
  <c r="D10" s="1"/>
  <c r="D72" i="59" s="1"/>
  <c r="C72" s="1"/>
  <c r="G11" i="13"/>
  <c r="D11" s="1"/>
  <c r="D73" i="59" s="1"/>
  <c r="C73" s="1"/>
  <c r="G12" i="13"/>
  <c r="D12" s="1"/>
  <c r="D74" i="59" s="1"/>
  <c r="C74" s="1"/>
  <c r="G13" i="13"/>
  <c r="D13" s="1"/>
  <c r="D76" i="59" s="1"/>
  <c r="C76" s="1"/>
  <c r="G14" i="13"/>
  <c r="D14" s="1"/>
  <c r="D77" i="59" s="1"/>
  <c r="C77" s="1"/>
  <c r="G15" i="13"/>
  <c r="D15" s="1"/>
  <c r="D79" i="59" s="1"/>
  <c r="C79" s="1"/>
  <c r="E16" i="13"/>
  <c r="F16"/>
  <c r="I16"/>
  <c r="J16"/>
  <c r="K16"/>
  <c r="L16"/>
  <c r="G17"/>
  <c r="D17" s="1"/>
  <c r="D85" i="59" s="1"/>
  <c r="C85" s="1"/>
  <c r="G18" i="13"/>
  <c r="D18" s="1"/>
  <c r="D86" i="59" s="1"/>
  <c r="C86" s="1"/>
  <c r="G19" i="13"/>
  <c r="D19" s="1"/>
  <c r="D87" i="59" s="1"/>
  <c r="C87" s="1"/>
  <c r="G20" i="13"/>
  <c r="D20" s="1"/>
  <c r="D88" i="59" s="1"/>
  <c r="C88" s="1"/>
  <c r="G21" i="13"/>
  <c r="D21" s="1"/>
  <c r="D89" i="59" s="1"/>
  <c r="C89" s="1"/>
  <c r="G22" i="13"/>
  <c r="D22" s="1"/>
  <c r="D90" i="59" s="1"/>
  <c r="C90" s="1"/>
  <c r="G23" i="13"/>
  <c r="D23" s="1"/>
  <c r="D91" i="59" s="1"/>
  <c r="C91" s="1"/>
  <c r="G24" i="13"/>
  <c r="D24" s="1"/>
  <c r="D92" i="59" s="1"/>
  <c r="C92" s="1"/>
  <c r="G25" i="13"/>
  <c r="D25" s="1"/>
  <c r="D93" i="59" s="1"/>
  <c r="C93" s="1"/>
  <c r="G26" i="13"/>
  <c r="D26" s="1"/>
  <c r="D94" i="59" s="1"/>
  <c r="C94" s="1"/>
  <c r="G27" i="13"/>
  <c r="D27" s="1"/>
  <c r="G28"/>
  <c r="D28" s="1"/>
  <c r="C2" i="12"/>
  <c r="C3"/>
  <c r="C4"/>
  <c r="D9"/>
  <c r="E9"/>
  <c r="E8" s="1"/>
  <c r="D25"/>
  <c r="E25"/>
  <c r="D35"/>
  <c r="E35"/>
  <c r="E34" s="1"/>
  <c r="D51"/>
  <c r="E51"/>
  <c r="D61"/>
  <c r="E61"/>
  <c r="E60"/>
  <c r="D77"/>
  <c r="E77"/>
  <c r="C2" i="11"/>
  <c r="C3"/>
  <c r="C4"/>
  <c r="D9"/>
  <c r="D14"/>
  <c r="C2" i="10"/>
  <c r="C3"/>
  <c r="C4"/>
  <c r="D14"/>
  <c r="D7" s="1"/>
  <c r="D31"/>
  <c r="D26" s="1"/>
  <c r="D47"/>
  <c r="D54"/>
  <c r="D61"/>
  <c r="D66"/>
  <c r="D68"/>
  <c r="D79"/>
  <c r="D92"/>
  <c r="D52" i="59" s="1"/>
  <c r="C52" s="1"/>
  <c r="D100" i="10"/>
  <c r="D103"/>
  <c r="D111"/>
  <c r="D119"/>
  <c r="C2" i="9"/>
  <c r="C3"/>
  <c r="C4"/>
  <c r="D7"/>
  <c r="D95" i="5" s="1"/>
  <c r="D25" i="59" s="1"/>
  <c r="C25" s="1"/>
  <c r="E7" i="9"/>
  <c r="D45" i="6"/>
  <c r="E45"/>
  <c r="D29" i="59" s="1"/>
  <c r="C29" s="1"/>
  <c r="C2" i="8"/>
  <c r="C3"/>
  <c r="C4"/>
  <c r="D8"/>
  <c r="E8"/>
  <c r="D13"/>
  <c r="E13"/>
  <c r="D17"/>
  <c r="D42" i="59" s="1"/>
  <c r="C42" s="1"/>
  <c r="E17" i="8"/>
  <c r="D20"/>
  <c r="E20"/>
  <c r="D27"/>
  <c r="E27"/>
  <c r="D30"/>
  <c r="E30"/>
  <c r="D33"/>
  <c r="E33"/>
  <c r="C2" i="7"/>
  <c r="C3"/>
  <c r="C4"/>
  <c r="E7"/>
  <c r="E18"/>
  <c r="E25" s="1"/>
  <c r="C2" i="6"/>
  <c r="C3"/>
  <c r="C4"/>
  <c r="D9"/>
  <c r="E9"/>
  <c r="D13"/>
  <c r="E13"/>
  <c r="D17"/>
  <c r="E17"/>
  <c r="D21"/>
  <c r="E21"/>
  <c r="D26"/>
  <c r="E26"/>
  <c r="D29"/>
  <c r="D169" i="59" s="1"/>
  <c r="C169" s="1"/>
  <c r="E29" i="6"/>
  <c r="D170" i="59" s="1"/>
  <c r="C170" s="1"/>
  <c r="E37" i="6"/>
  <c r="E36" s="1"/>
  <c r="C2" i="5"/>
  <c r="C3"/>
  <c r="D9"/>
  <c r="D207" i="59" s="1"/>
  <c r="C207" s="1"/>
  <c r="E9" i="5"/>
  <c r="D14"/>
  <c r="E14"/>
  <c r="D20"/>
  <c r="E20"/>
  <c r="D26"/>
  <c r="D210" i="59" s="1"/>
  <c r="C210" s="1"/>
  <c r="E26" i="5"/>
  <c r="D32"/>
  <c r="E32"/>
  <c r="D40"/>
  <c r="E40"/>
  <c r="D41"/>
  <c r="D6" i="59" s="1"/>
  <c r="C6" s="1"/>
  <c r="E41" i="5"/>
  <c r="D5" i="59" s="1"/>
  <c r="C5" s="1"/>
  <c r="D42" i="5"/>
  <c r="D8" i="59" s="1"/>
  <c r="C8" s="1"/>
  <c r="E42" i="5"/>
  <c r="D7" i="59" s="1"/>
  <c r="C7" s="1"/>
  <c r="D43" i="5"/>
  <c r="E43"/>
  <c r="D9" i="59" s="1"/>
  <c r="C9" s="1"/>
  <c r="D44" i="5"/>
  <c r="D12" i="59" s="1"/>
  <c r="C12" s="1"/>
  <c r="E44" i="5"/>
  <c r="D11" i="59" s="1"/>
  <c r="C11" s="1"/>
  <c r="D47" i="5"/>
  <c r="E47"/>
  <c r="D51"/>
  <c r="E51"/>
  <c r="D61"/>
  <c r="E61"/>
  <c r="D70"/>
  <c r="D15" i="59" s="1"/>
  <c r="C15" s="1"/>
  <c r="E70" i="5"/>
  <c r="D14" i="59" s="1"/>
  <c r="C14" s="1"/>
  <c r="D71" i="5"/>
  <c r="D17" i="59" s="1"/>
  <c r="C17" s="1"/>
  <c r="E71" i="5"/>
  <c r="D16" i="59" s="1"/>
  <c r="C16" s="1"/>
  <c r="D72" i="5"/>
  <c r="D19" i="59" s="1"/>
  <c r="C19" s="1"/>
  <c r="E72" i="5"/>
  <c r="D18" i="59" s="1"/>
  <c r="C18" s="1"/>
  <c r="D73" i="5"/>
  <c r="D21" i="59" s="1"/>
  <c r="C21" s="1"/>
  <c r="E73" i="5"/>
  <c r="D20" i="59" s="1"/>
  <c r="C20" s="1"/>
  <c r="D74" i="5"/>
  <c r="D23" i="59" s="1"/>
  <c r="C23" s="1"/>
  <c r="E74" i="5"/>
  <c r="D22" i="59" s="1"/>
  <c r="C22" s="1"/>
  <c r="E77" i="5"/>
  <c r="E87"/>
  <c r="C5" i="4"/>
  <c r="C5" i="3"/>
  <c r="D5" i="2"/>
  <c r="O15" i="41"/>
  <c r="O13" s="1"/>
  <c r="L22" i="21"/>
  <c r="E8" i="6"/>
  <c r="D162" i="59" s="1"/>
  <c r="C162" s="1"/>
  <c r="D33" i="35"/>
  <c r="G15" i="40"/>
  <c r="M43" i="39"/>
  <c r="L39"/>
  <c r="D9" i="44"/>
  <c r="N15" i="41" l="1"/>
  <c r="N13" s="1"/>
  <c r="E8"/>
  <c r="M33" i="39"/>
  <c r="L30"/>
  <c r="L28"/>
  <c r="L27"/>
  <c r="M22"/>
  <c r="F7" i="33"/>
  <c r="F21"/>
  <c r="D241" i="59"/>
  <c r="C241" s="1"/>
  <c r="D238"/>
  <c r="C238" s="1"/>
  <c r="D240"/>
  <c r="C240" s="1"/>
  <c r="D239"/>
  <c r="C239" s="1"/>
  <c r="D200"/>
  <c r="C200" s="1"/>
  <c r="D172"/>
  <c r="C172" s="1"/>
  <c r="D196"/>
  <c r="C196" s="1"/>
  <c r="D168"/>
  <c r="C168" s="1"/>
  <c r="D194"/>
  <c r="C194" s="1"/>
  <c r="D166"/>
  <c r="C166" s="1"/>
  <c r="D192"/>
  <c r="C192" s="1"/>
  <c r="D164"/>
  <c r="C164" s="1"/>
  <c r="D188"/>
  <c r="C188" s="1"/>
  <c r="D160"/>
  <c r="C160" s="1"/>
  <c r="D199"/>
  <c r="C199" s="1"/>
  <c r="D171"/>
  <c r="C171" s="1"/>
  <c r="D195"/>
  <c r="C195" s="1"/>
  <c r="D167"/>
  <c r="C167" s="1"/>
  <c r="D193"/>
  <c r="C193" s="1"/>
  <c r="D165"/>
  <c r="C165" s="1"/>
  <c r="D191"/>
  <c r="C191" s="1"/>
  <c r="D163"/>
  <c r="C163" s="1"/>
  <c r="D187"/>
  <c r="C187" s="1"/>
  <c r="D159"/>
  <c r="C159" s="1"/>
  <c r="D179"/>
  <c r="C179" s="1"/>
  <c r="D149"/>
  <c r="C149" s="1"/>
  <c r="D177"/>
  <c r="C177" s="1"/>
  <c r="D147"/>
  <c r="C147" s="1"/>
  <c r="D173"/>
  <c r="C173" s="1"/>
  <c r="D143"/>
  <c r="C143" s="1"/>
  <c r="D152"/>
  <c r="C152" s="1"/>
  <c r="D182"/>
  <c r="C182" s="1"/>
  <c r="D181"/>
  <c r="C181" s="1"/>
  <c r="D180"/>
  <c r="C180" s="1"/>
  <c r="D150"/>
  <c r="C150" s="1"/>
  <c r="D178"/>
  <c r="C178" s="1"/>
  <c r="D148"/>
  <c r="C148" s="1"/>
  <c r="D174"/>
  <c r="C174" s="1"/>
  <c r="D144"/>
  <c r="C144" s="1"/>
  <c r="D124"/>
  <c r="C124" s="1"/>
  <c r="D65"/>
  <c r="C65" s="1"/>
  <c r="D126"/>
  <c r="C126" s="1"/>
  <c r="D63"/>
  <c r="C63" s="1"/>
  <c r="D47"/>
  <c r="C47" s="1"/>
  <c r="D62"/>
  <c r="C62" s="1"/>
  <c r="D48"/>
  <c r="C48" s="1"/>
  <c r="D96"/>
  <c r="C96" s="1"/>
  <c r="D60"/>
  <c r="C60" s="1"/>
  <c r="D151"/>
  <c r="C151" s="1"/>
  <c r="D95"/>
  <c r="C95" s="1"/>
  <c r="E95" i="5"/>
  <c r="D24" i="59" s="1"/>
  <c r="C24" s="1"/>
  <c r="D49"/>
  <c r="C49" s="1"/>
  <c r="D229"/>
  <c r="C229" s="1"/>
  <c r="D155"/>
  <c r="C155" s="1"/>
  <c r="D156"/>
  <c r="C156" s="1"/>
  <c r="D129"/>
  <c r="C129" s="1"/>
  <c r="D130"/>
  <c r="C130" s="1"/>
  <c r="F4" i="56"/>
  <c r="D3" i="59"/>
  <c r="C3" s="1"/>
  <c r="D211"/>
  <c r="C211" s="1"/>
  <c r="F191" i="56"/>
  <c r="D26" i="35"/>
  <c r="D235" i="59"/>
  <c r="C235" s="1"/>
  <c r="D10"/>
  <c r="C10" s="1"/>
  <c r="D215"/>
  <c r="C215" s="1"/>
  <c r="D4"/>
  <c r="C4" s="1"/>
  <c r="D157"/>
  <c r="C157" s="1"/>
  <c r="D214"/>
  <c r="C214" s="1"/>
  <c r="D36" i="6"/>
  <c r="D30" i="59"/>
  <c r="C30" s="1"/>
  <c r="D38"/>
  <c r="C38" s="1"/>
  <c r="E22" i="41"/>
  <c r="J15"/>
  <c r="J13" s="1"/>
  <c r="K15"/>
  <c r="K13" s="1"/>
  <c r="G15"/>
  <c r="G13" s="1"/>
  <c r="I15" i="40"/>
  <c r="I13" s="1"/>
  <c r="M15"/>
  <c r="M13" s="1"/>
  <c r="J15"/>
  <c r="J13" s="1"/>
  <c r="F15"/>
  <c r="F13" s="1"/>
  <c r="L43" i="39"/>
  <c r="M42"/>
  <c r="L37"/>
  <c r="L31"/>
  <c r="M29"/>
  <c r="M28"/>
  <c r="L26"/>
  <c r="L24"/>
  <c r="M23"/>
  <c r="L22"/>
  <c r="M20"/>
  <c r="L19"/>
  <c r="L18"/>
  <c r="M16"/>
  <c r="M15"/>
  <c r="M13"/>
  <c r="M12"/>
  <c r="L33"/>
  <c r="F20" i="31"/>
  <c r="I43" i="29"/>
  <c r="D206" i="59" s="1"/>
  <c r="C206" s="1"/>
  <c r="F185" i="56"/>
  <c r="F222"/>
  <c r="F219"/>
  <c r="F221"/>
  <c r="F220"/>
  <c r="F179"/>
  <c r="F151"/>
  <c r="F177"/>
  <c r="F147"/>
  <c r="F175"/>
  <c r="F173"/>
  <c r="F145"/>
  <c r="F171"/>
  <c r="F143"/>
  <c r="F169"/>
  <c r="F139"/>
  <c r="F167"/>
  <c r="F180"/>
  <c r="F152"/>
  <c r="F178"/>
  <c r="F176"/>
  <c r="F148"/>
  <c r="F174"/>
  <c r="F146"/>
  <c r="F172"/>
  <c r="F144"/>
  <c r="F170"/>
  <c r="F168"/>
  <c r="F140"/>
  <c r="K27" i="24"/>
  <c r="F138" i="56"/>
  <c r="F166"/>
  <c r="F164"/>
  <c r="F162"/>
  <c r="F132"/>
  <c r="F160"/>
  <c r="F130"/>
  <c r="F158"/>
  <c r="F128"/>
  <c r="F156"/>
  <c r="F154"/>
  <c r="F124"/>
  <c r="F137"/>
  <c r="F165"/>
  <c r="F163"/>
  <c r="F161"/>
  <c r="F129"/>
  <c r="F159"/>
  <c r="F157"/>
  <c r="F127"/>
  <c r="F155"/>
  <c r="F153"/>
  <c r="F123"/>
  <c r="L28" i="23"/>
  <c r="F121" i="56"/>
  <c r="F119"/>
  <c r="F117"/>
  <c r="F122"/>
  <c r="K22" i="22"/>
  <c r="F120" i="56"/>
  <c r="F118"/>
  <c r="E11" i="18"/>
  <c r="D16" i="16"/>
  <c r="D83" i="59" s="1"/>
  <c r="C83" s="1"/>
  <c r="E16" i="16"/>
  <c r="D114" i="59" s="1"/>
  <c r="C114" s="1"/>
  <c r="F92" i="56"/>
  <c r="E8" i="16"/>
  <c r="D102" i="59" s="1"/>
  <c r="C102" s="1"/>
  <c r="D16" i="15"/>
  <c r="D81" i="59" s="1"/>
  <c r="C81" s="1"/>
  <c r="E8" i="15"/>
  <c r="D67" i="59" s="1"/>
  <c r="C67" s="1"/>
  <c r="F64" i="56"/>
  <c r="G16" i="14"/>
  <c r="F98" i="56"/>
  <c r="F104"/>
  <c r="F106"/>
  <c r="F50"/>
  <c r="F105"/>
  <c r="F102"/>
  <c r="F101"/>
  <c r="F99"/>
  <c r="F95"/>
  <c r="F103"/>
  <c r="F100"/>
  <c r="F97"/>
  <c r="F90"/>
  <c r="F86"/>
  <c r="F93"/>
  <c r="F89"/>
  <c r="F91"/>
  <c r="F88"/>
  <c r="F87"/>
  <c r="F79"/>
  <c r="F44"/>
  <c r="F51"/>
  <c r="F45"/>
  <c r="F77"/>
  <c r="F74"/>
  <c r="F73"/>
  <c r="F70"/>
  <c r="F68"/>
  <c r="F76"/>
  <c r="F75"/>
  <c r="F72"/>
  <c r="F71"/>
  <c r="F69"/>
  <c r="F63"/>
  <c r="F62"/>
  <c r="F58"/>
  <c r="F57"/>
  <c r="F61"/>
  <c r="F59"/>
  <c r="F56"/>
  <c r="D60" i="12"/>
  <c r="F131" i="56"/>
  <c r="F78"/>
  <c r="F47"/>
  <c r="D89" i="10"/>
  <c r="E7" i="8"/>
  <c r="F40" i="56"/>
  <c r="F116"/>
  <c r="F31"/>
  <c r="F150"/>
  <c r="F149"/>
  <c r="F142"/>
  <c r="F208"/>
  <c r="F135"/>
  <c r="F111"/>
  <c r="F210"/>
  <c r="F136"/>
  <c r="F112"/>
  <c r="F109"/>
  <c r="E50" i="5"/>
  <c r="D154" i="59" s="1"/>
  <c r="C154" s="1"/>
  <c r="F110" i="56"/>
  <c r="D50" i="5"/>
  <c r="F190" i="56"/>
  <c r="E13" i="5"/>
  <c r="D146" i="59" s="1"/>
  <c r="C146" s="1"/>
  <c r="F207" i="56"/>
  <c r="F126"/>
  <c r="F187"/>
  <c r="F107"/>
  <c r="F215"/>
  <c r="F212"/>
  <c r="F24"/>
  <c r="F22"/>
  <c r="F20"/>
  <c r="F18"/>
  <c r="F16"/>
  <c r="F12"/>
  <c r="F10"/>
  <c r="F8"/>
  <c r="F7"/>
  <c r="F6"/>
  <c r="F29"/>
  <c r="F25"/>
  <c r="F23"/>
  <c r="F21"/>
  <c r="F19"/>
  <c r="F17"/>
  <c r="F15"/>
  <c r="F13"/>
  <c r="F195"/>
  <c r="F11"/>
  <c r="F9"/>
  <c r="F194"/>
  <c r="F5"/>
  <c r="F30"/>
  <c r="D86" i="5"/>
  <c r="D228" i="59" s="1"/>
  <c r="C228" s="1"/>
  <c r="F26" i="56"/>
  <c r="D16" i="14"/>
  <c r="D8" i="44"/>
  <c r="E24" i="55"/>
  <c r="E69" i="5"/>
  <c r="D8" i="14"/>
  <c r="L29" i="25"/>
  <c r="M40" i="39"/>
  <c r="I15" i="41"/>
  <c r="I13" s="1"/>
  <c r="D16"/>
  <c r="E24" i="44"/>
  <c r="E16" i="41"/>
  <c r="E7" i="12"/>
  <c r="K27" i="26"/>
  <c r="E39" i="5"/>
  <c r="D8" i="12"/>
  <c r="D16" i="13"/>
  <c r="D82" i="59" s="1"/>
  <c r="C82" s="1"/>
  <c r="D8" i="13"/>
  <c r="G8" i="14"/>
  <c r="E16" i="15"/>
  <c r="D8" i="16"/>
  <c r="D101" i="59" s="1"/>
  <c r="C101" s="1"/>
  <c r="L29" i="23"/>
  <c r="M44" i="39"/>
  <c r="M36"/>
  <c r="M30"/>
  <c r="E22" i="40"/>
  <c r="M15" i="41"/>
  <c r="M13" s="1"/>
  <c r="H15"/>
  <c r="H13" s="1"/>
  <c r="I23" i="27"/>
  <c r="D201" i="59" s="1"/>
  <c r="C201" s="1"/>
  <c r="P38" i="55"/>
  <c r="E8"/>
  <c r="E38" s="1"/>
  <c r="G40" i="34"/>
  <c r="E47" i="6"/>
  <c r="L34" i="39"/>
  <c r="D40" i="10"/>
  <c r="E86" i="5"/>
  <c r="K26" i="24"/>
  <c r="I43" i="28"/>
  <c r="D204" i="59" s="1"/>
  <c r="C204" s="1"/>
  <c r="I23" i="28"/>
  <c r="D203" i="59" s="1"/>
  <c r="C203" s="1"/>
  <c r="F10" i="31"/>
  <c r="F22" i="33" s="1"/>
  <c r="L42" i="39"/>
  <c r="L41"/>
  <c r="M37"/>
  <c r="L35"/>
  <c r="M32"/>
  <c r="M27"/>
  <c r="M24"/>
  <c r="M21"/>
  <c r="M14"/>
  <c r="M11"/>
  <c r="N15" i="40"/>
  <c r="N13" s="1"/>
  <c r="D13" s="1"/>
  <c r="D22"/>
  <c r="D22" i="41"/>
  <c r="L15"/>
  <c r="L13" s="1"/>
  <c r="D33" i="47"/>
  <c r="D15" i="51"/>
  <c r="D8" i="15"/>
  <c r="D66" i="59" s="1"/>
  <c r="C66" s="1"/>
  <c r="E9" i="55"/>
  <c r="J9" i="39"/>
  <c r="M38"/>
  <c r="F15" i="41"/>
  <c r="D38" i="44"/>
  <c r="G13" i="40"/>
  <c r="D69" i="5"/>
  <c r="D13"/>
  <c r="D145" i="59" s="1"/>
  <c r="C145" s="1"/>
  <c r="D91" i="10"/>
  <c r="D127" s="1"/>
  <c r="D131" s="1"/>
  <c r="D135" s="1"/>
  <c r="D53" i="59" s="1"/>
  <c r="C53" s="1"/>
  <c r="D27" i="11"/>
  <c r="D58" i="59" s="1"/>
  <c r="C58" s="1"/>
  <c r="K26" i="26"/>
  <c r="M35" i="39"/>
  <c r="E8" i="40"/>
  <c r="D75" i="59" s="1"/>
  <c r="C75" s="1"/>
  <c r="D34" i="35"/>
  <c r="G8" i="13"/>
  <c r="G16"/>
  <c r="D8" i="55"/>
  <c r="D38" s="1"/>
  <c r="D8" i="6"/>
  <c r="D161" i="59" s="1"/>
  <c r="C161" s="1"/>
  <c r="D7" i="8"/>
  <c r="D135" i="59" s="1"/>
  <c r="C135" s="1"/>
  <c r="D34" i="12"/>
  <c r="D7" s="1"/>
  <c r="D59" i="59" s="1"/>
  <c r="C59" s="1"/>
  <c r="M22" i="21"/>
  <c r="J22" i="22"/>
  <c r="L28" i="25"/>
  <c r="F10" i="30"/>
  <c r="D16" i="40"/>
  <c r="D8"/>
  <c r="F81" i="56" s="1"/>
  <c r="D8" i="41"/>
  <c r="D100" i="59" s="1"/>
  <c r="C100" s="1"/>
  <c r="G8" i="44"/>
  <c r="E9"/>
  <c r="D8" i="51"/>
  <c r="F27" i="33"/>
  <c r="F38" i="55"/>
  <c r="M38"/>
  <c r="I38"/>
  <c r="L32" i="39"/>
  <c r="D15" i="40"/>
  <c r="F80" i="56" s="1"/>
  <c r="D39" i="5"/>
  <c r="H9" i="17"/>
  <c r="D12" i="18"/>
  <c r="D15" s="1"/>
  <c r="I43" i="27"/>
  <c r="D202" i="59" s="1"/>
  <c r="C202" s="1"/>
  <c r="D22" i="33"/>
  <c r="M39" i="39"/>
  <c r="M31"/>
  <c r="L29"/>
  <c r="L25"/>
  <c r="L21"/>
  <c r="L17"/>
  <c r="L13"/>
  <c r="H9" s="1"/>
  <c r="O15" i="40"/>
  <c r="O13" s="1"/>
  <c r="K15"/>
  <c r="K13" s="1"/>
  <c r="E16"/>
  <c r="J38" i="44"/>
  <c r="N38"/>
  <c r="D18" i="47"/>
  <c r="D9" i="55"/>
  <c r="D134" i="59" l="1"/>
  <c r="C134" s="1"/>
  <c r="E15" i="41"/>
  <c r="D97" i="59"/>
  <c r="C97" s="1"/>
  <c r="D98"/>
  <c r="C98" s="1"/>
  <c r="D113"/>
  <c r="C113" s="1"/>
  <c r="D70"/>
  <c r="C70" s="1"/>
  <c r="D69"/>
  <c r="C69" s="1"/>
  <c r="D104"/>
  <c r="C104" s="1"/>
  <c r="D103"/>
  <c r="C103" s="1"/>
  <c r="D84"/>
  <c r="C84" s="1"/>
  <c r="D68"/>
  <c r="C68" s="1"/>
  <c r="D136"/>
  <c r="C136" s="1"/>
  <c r="D46"/>
  <c r="C46" s="1"/>
  <c r="D226"/>
  <c r="C226" s="1"/>
  <c r="D127"/>
  <c r="C127" s="1"/>
  <c r="D153"/>
  <c r="C153" s="1"/>
  <c r="D128"/>
  <c r="C128" s="1"/>
  <c r="D133"/>
  <c r="C133" s="1"/>
  <c r="E26" i="7"/>
  <c r="F85" i="56"/>
  <c r="F94"/>
  <c r="F83"/>
  <c r="F60"/>
  <c r="K9" i="39"/>
  <c r="F186" i="56"/>
  <c r="F184"/>
  <c r="F183"/>
  <c r="F182"/>
  <c r="F181"/>
  <c r="F84"/>
  <c r="F52"/>
  <c r="F66"/>
  <c r="F55"/>
  <c r="F65"/>
  <c r="F67"/>
  <c r="F54"/>
  <c r="F53"/>
  <c r="F48"/>
  <c r="F115"/>
  <c r="D47" i="6"/>
  <c r="D26" i="7" s="1"/>
  <c r="F141" i="56"/>
  <c r="F134"/>
  <c r="F108"/>
  <c r="F206"/>
  <c r="F133"/>
  <c r="F125"/>
  <c r="F113"/>
  <c r="D36" i="35"/>
  <c r="F24" i="30" s="1"/>
  <c r="H24" s="1"/>
  <c r="F217" i="56"/>
  <c r="E97" i="5"/>
  <c r="F114" i="56"/>
  <c r="F209"/>
  <c r="I9" i="39"/>
  <c r="D97" i="5"/>
  <c r="E13" i="41"/>
  <c r="F23" i="30"/>
  <c r="H23" s="1"/>
  <c r="F22"/>
  <c r="H22" s="1"/>
  <c r="G38" i="44"/>
  <c r="E8"/>
  <c r="E38" s="1"/>
  <c r="M9" i="39"/>
  <c r="L9"/>
  <c r="E15" i="40"/>
  <c r="F20" i="30"/>
  <c r="H20" s="1"/>
  <c r="F21"/>
  <c r="H21" s="1"/>
  <c r="D15" i="41"/>
  <c r="D99" i="59" s="1"/>
  <c r="C99" s="1"/>
  <c r="F13" i="41"/>
  <c r="D13" s="1"/>
  <c r="F25" i="30"/>
  <c r="H25" s="1"/>
  <c r="F16"/>
  <c r="H16" s="1"/>
  <c r="F26"/>
  <c r="H26" s="1"/>
  <c r="F12"/>
  <c r="H12" s="1"/>
  <c r="E13" i="40"/>
  <c r="D243" i="59" l="1"/>
  <c r="C243" s="1"/>
  <c r="D28"/>
  <c r="C28" s="1"/>
  <c r="D27"/>
  <c r="C27" s="1"/>
  <c r="D31"/>
  <c r="C31" s="1"/>
  <c r="F82" i="56"/>
  <c r="F14" i="30"/>
  <c r="H14" s="1"/>
  <c r="F17"/>
  <c r="H17" s="1"/>
  <c r="F27"/>
  <c r="H27" s="1"/>
  <c r="F13"/>
  <c r="H13" s="1"/>
  <c r="F15"/>
  <c r="H15" s="1"/>
  <c r="F11"/>
  <c r="H11" s="1"/>
  <c r="F28" i="56"/>
  <c r="F9" i="30"/>
  <c r="H9" s="1"/>
  <c r="F18"/>
  <c r="H18" s="1"/>
  <c r="F19"/>
  <c r="H19" s="1"/>
  <c r="D25" i="33"/>
  <c r="F23" l="1"/>
  <c r="E19" s="1"/>
  <c r="E27" s="1"/>
  <c r="F19" s="1"/>
  <c r="F25" s="1"/>
  <c r="F8" i="30" s="1"/>
  <c r="D23" i="33"/>
  <c r="D19" l="1"/>
  <c r="F27" i="56" s="1"/>
  <c r="D26" i="59"/>
  <c r="C26" s="1"/>
  <c r="C2" s="1"/>
  <c r="B2" s="1"/>
  <c r="H8" i="30"/>
  <c r="G10"/>
  <c r="H10" s="1"/>
</calcChain>
</file>

<file path=xl/sharedStrings.xml><?xml version="1.0" encoding="utf-8"?>
<sst xmlns="http://schemas.openxmlformats.org/spreadsheetml/2006/main" count="3904" uniqueCount="2659">
  <si>
    <t>15.05.015</t>
  </si>
  <si>
    <t>15.05.020</t>
  </si>
  <si>
    <t>15.05.025</t>
  </si>
  <si>
    <t>15.05.030</t>
  </si>
  <si>
    <t>15.05.035</t>
  </si>
  <si>
    <t>15.05.040</t>
  </si>
  <si>
    <t>15.05.045</t>
  </si>
  <si>
    <t>15.05.055</t>
  </si>
  <si>
    <t>15.05.060</t>
  </si>
  <si>
    <t>15.05.065</t>
  </si>
  <si>
    <t>15.05.070</t>
  </si>
  <si>
    <t>15.05.075</t>
  </si>
  <si>
    <t>15.05.080</t>
  </si>
  <si>
    <t>15.02.060</t>
  </si>
  <si>
    <t>15.05.095</t>
  </si>
  <si>
    <t>15.05.100</t>
  </si>
  <si>
    <t>15.05.105</t>
  </si>
  <si>
    <t>15.05.115</t>
  </si>
  <si>
    <t>15.05.110</t>
  </si>
  <si>
    <t>15.05.120</t>
  </si>
  <si>
    <t>15.04.060</t>
  </si>
  <si>
    <t>13.01.000</t>
  </si>
  <si>
    <t>13.01.005</t>
  </si>
  <si>
    <t>13.01.010</t>
  </si>
  <si>
    <t>13.01.015</t>
  </si>
  <si>
    <t>13.01.020</t>
  </si>
  <si>
    <t>13.01.025</t>
  </si>
  <si>
    <t>13.01.030</t>
  </si>
  <si>
    <t>13.01.035</t>
  </si>
  <si>
    <t>13.01.040</t>
  </si>
  <si>
    <t>13.01.045</t>
  </si>
  <si>
    <t>13.02.000</t>
  </si>
  <si>
    <t>13.02.005</t>
  </si>
  <si>
    <t>13.02.010</t>
  </si>
  <si>
    <t>13.02.015</t>
  </si>
  <si>
    <t>13.02.020</t>
  </si>
  <si>
    <t>13.02.025</t>
  </si>
  <si>
    <t>13.02.030</t>
  </si>
  <si>
    <t>13.02.035</t>
  </si>
  <si>
    <t>13.02.040</t>
  </si>
  <si>
    <t>13.02.045</t>
  </si>
  <si>
    <t>13.01.050</t>
  </si>
  <si>
    <t>13.01.055</t>
  </si>
  <si>
    <t>13.01.060</t>
  </si>
  <si>
    <t>13.01.065</t>
  </si>
  <si>
    <t>13.02.055</t>
  </si>
  <si>
    <t>13.02.050</t>
  </si>
  <si>
    <t>17.01.000</t>
  </si>
  <si>
    <t>17.01.005</t>
  </si>
  <si>
    <t>17.01.010</t>
  </si>
  <si>
    <t>17.01.015</t>
  </si>
  <si>
    <t>17.01.020</t>
  </si>
  <si>
    <t>17.01.025</t>
  </si>
  <si>
    <t>13.02.060</t>
  </si>
  <si>
    <t>13.02.065</t>
  </si>
  <si>
    <t>K4.1</t>
  </si>
  <si>
    <t>K4.2</t>
  </si>
  <si>
    <t>02.01.525</t>
  </si>
  <si>
    <t>K5.</t>
  </si>
  <si>
    <t>15.04.140</t>
  </si>
  <si>
    <t>19.01.000</t>
  </si>
  <si>
    <t>19.01.005</t>
  </si>
  <si>
    <t>19.01.010</t>
  </si>
  <si>
    <t>19.01.015</t>
  </si>
  <si>
    <t>19.01.020</t>
  </si>
  <si>
    <t>19.01.025</t>
  </si>
  <si>
    <t>19.01.030</t>
  </si>
  <si>
    <t>19.01.035</t>
  </si>
  <si>
    <t>19.01.040</t>
  </si>
  <si>
    <t>19.01.045</t>
  </si>
  <si>
    <t>19.01.050</t>
  </si>
  <si>
    <t>19.01.055</t>
  </si>
  <si>
    <t>19.01.060</t>
  </si>
  <si>
    <t>19.01.065</t>
  </si>
  <si>
    <t>19.01.070</t>
  </si>
  <si>
    <t>19.01.075</t>
  </si>
  <si>
    <t>19.01.080</t>
  </si>
  <si>
    <t>19.01.085</t>
  </si>
  <si>
    <t>19.01.090</t>
  </si>
  <si>
    <t>19.01.100</t>
  </si>
  <si>
    <t>19.01.105</t>
  </si>
  <si>
    <t>20.01.060</t>
  </si>
  <si>
    <t>20.01.065</t>
  </si>
  <si>
    <t>20.01.070</t>
  </si>
  <si>
    <t>20.01.075</t>
  </si>
  <si>
    <t>20.01.080</t>
  </si>
  <si>
    <t>20.01.085</t>
  </si>
  <si>
    <t>20.01.090</t>
  </si>
  <si>
    <t>20.01.095</t>
  </si>
  <si>
    <t>20.02.060</t>
  </si>
  <si>
    <t>20.02.065</t>
  </si>
  <si>
    <t>Санаи бақайдгирии
ҳисобот</t>
  </si>
  <si>
    <t>Санаи баррасии
ҳисобот</t>
  </si>
  <si>
    <t>Дигар воҳидҳои сохторӣ</t>
  </si>
  <si>
    <t>20.02.070</t>
  </si>
  <si>
    <t>20.02.075</t>
  </si>
  <si>
    <t>20.02.080</t>
  </si>
  <si>
    <t>20.02.085</t>
  </si>
  <si>
    <t>20.02.090</t>
  </si>
  <si>
    <t>20.02.095</t>
  </si>
  <si>
    <t>16.01.000</t>
  </si>
  <si>
    <t>16.01.005</t>
  </si>
  <si>
    <t>16.01.010</t>
  </si>
  <si>
    <t>16.01.015</t>
  </si>
  <si>
    <t>16.01.020</t>
  </si>
  <si>
    <t>16.01.025</t>
  </si>
  <si>
    <t>16.01.030</t>
  </si>
  <si>
    <t>16.01.035</t>
  </si>
  <si>
    <t>16.01.040</t>
  </si>
  <si>
    <t>16.01.045</t>
  </si>
  <si>
    <t>16.01.050</t>
  </si>
  <si>
    <t>16.01.055</t>
  </si>
  <si>
    <t>16.01.060</t>
  </si>
  <si>
    <t>16.01.065</t>
  </si>
  <si>
    <t>16.01.070</t>
  </si>
  <si>
    <t>16.01.075</t>
  </si>
  <si>
    <t>16.01.080</t>
  </si>
  <si>
    <t>16.01.090</t>
  </si>
  <si>
    <t>16.01.095</t>
  </si>
  <si>
    <t>16.01.100</t>
  </si>
  <si>
    <t>16.01.105</t>
  </si>
  <si>
    <t>16.01.110</t>
  </si>
  <si>
    <t xml:space="preserve">15.03.080 </t>
  </si>
  <si>
    <t>15.03.085</t>
  </si>
  <si>
    <t>C</t>
  </si>
  <si>
    <t>12.02.065</t>
  </si>
  <si>
    <t>11.02.000</t>
  </si>
  <si>
    <t>11.02.005</t>
  </si>
  <si>
    <t>11.02.010</t>
  </si>
  <si>
    <t>11.02.015</t>
  </si>
  <si>
    <t>11.02.020</t>
  </si>
  <si>
    <t>11.02.025</t>
  </si>
  <si>
    <t>11.02.030</t>
  </si>
  <si>
    <t>11.02.035</t>
  </si>
  <si>
    <t>11.02.040</t>
  </si>
  <si>
    <t>11.02.045</t>
  </si>
  <si>
    <t>11.02.050</t>
  </si>
  <si>
    <t>11.02.055</t>
  </si>
  <si>
    <t>11.02.060</t>
  </si>
  <si>
    <t>12.03.000</t>
  </si>
  <si>
    <t>12.03.005</t>
  </si>
  <si>
    <t>12.03.010</t>
  </si>
  <si>
    <t>12.03.015</t>
  </si>
  <si>
    <t>12.03.020</t>
  </si>
  <si>
    <t>12.03.025</t>
  </si>
  <si>
    <t>12.03.030</t>
  </si>
  <si>
    <t>12.03.035</t>
  </si>
  <si>
    <t>12.03.040</t>
  </si>
  <si>
    <t>12.03.045</t>
  </si>
  <si>
    <t>12.03.050</t>
  </si>
  <si>
    <t>12.03.055</t>
  </si>
  <si>
    <t>12.03.060</t>
  </si>
  <si>
    <t>12.03.065</t>
  </si>
  <si>
    <t>09.01.055</t>
  </si>
  <si>
    <t>09.01.060</t>
  </si>
  <si>
    <t>09.01.065</t>
  </si>
  <si>
    <t>11.01.000</t>
  </si>
  <si>
    <t>11.01.005</t>
  </si>
  <si>
    <t>11.01.010</t>
  </si>
  <si>
    <t>11.01.015</t>
  </si>
  <si>
    <t>11.01.020</t>
  </si>
  <si>
    <t>11.01.025</t>
  </si>
  <si>
    <t>11.01.030</t>
  </si>
  <si>
    <t>11.01.035</t>
  </si>
  <si>
    <t>11.01.040</t>
  </si>
  <si>
    <t>11.01.045</t>
  </si>
  <si>
    <t>11.01.050</t>
  </si>
  <si>
    <t>11.01.055</t>
  </si>
  <si>
    <t>12.02.000</t>
  </si>
  <si>
    <t>12.02.005</t>
  </si>
  <si>
    <t>12.02.010</t>
  </si>
  <si>
    <t>12.02.020</t>
  </si>
  <si>
    <t>12.02.025</t>
  </si>
  <si>
    <t>12.02.030</t>
  </si>
  <si>
    <t>12.02.035</t>
  </si>
  <si>
    <t>12.02.040</t>
  </si>
  <si>
    <t>12.02.045</t>
  </si>
  <si>
    <t>ANALYSIS OF OVERDUE ASSETS IN SOMONI</t>
  </si>
  <si>
    <t>ANALYSIS OF OVERDUE ASSETS IN FOREIGN CURRENCY</t>
  </si>
  <si>
    <t>11.01.065</t>
  </si>
  <si>
    <t>11.02.065</t>
  </si>
  <si>
    <t>12.04.000</t>
  </si>
  <si>
    <t>12.04.005</t>
  </si>
  <si>
    <t>12.04.010</t>
  </si>
  <si>
    <t>Барои пардохт - бонкҳо ва дигар ташкилотҳои қарзии ғайрибонкӣ</t>
  </si>
  <si>
    <t>Барои пардохт - бонкҳои дар қаламрави Тоҷикистон</t>
  </si>
  <si>
    <t>ҳисобҳои ҷорӣ/мукотибавӣ</t>
  </si>
  <si>
    <t>01.02.031</t>
  </si>
  <si>
    <t>01.02.032</t>
  </si>
  <si>
    <t>01.02.033</t>
  </si>
  <si>
    <t>Барои пардохт ба бонкҳои берун аз қаламрави Тоҷикистон</t>
  </si>
  <si>
    <t>01.02.056</t>
  </si>
  <si>
    <t>01.02.057</t>
  </si>
  <si>
    <t>01.02.058</t>
  </si>
  <si>
    <t>Аксептҳо барои пардохт ба бонкҳои дар қаламрави Тоҷикистон</t>
  </si>
  <si>
    <t>Аксептҳо барои пардохт ба бонкҳои берун аз қаламрави Тоҷикистон</t>
  </si>
  <si>
    <t>Амонатҳо</t>
  </si>
  <si>
    <t>Амонатҳои дархостшаванда</t>
  </si>
  <si>
    <t>Амонатҳои пасандозӣ</t>
  </si>
  <si>
    <t>Амонатҳои сохторҳои буҷавӣ</t>
  </si>
  <si>
    <t>қоғазҳои қиматноки қарзии баровардашудаи бонк</t>
  </si>
  <si>
    <t>барои пардохт ба бонкҳо</t>
  </si>
  <si>
    <t>01.02.131</t>
  </si>
  <si>
    <t>маблағҳои интиқолӣ</t>
  </si>
  <si>
    <t>воситаҳои молиявӣ</t>
  </si>
  <si>
    <t>фоизҳои ҳисобшуда барои пардохт</t>
  </si>
  <si>
    <t>Сармояи худӣ</t>
  </si>
  <si>
    <t>Саҳмияҳои оддӣ - пардохташуда</t>
  </si>
  <si>
    <t>Саҳмияҳои имтиёзнок - пардохташуда</t>
  </si>
  <si>
    <t>Фоида/зарари соли ҷорӣ</t>
  </si>
  <si>
    <t xml:space="preserve">Захира барои амалиётҳои ояндаи бонкӣ </t>
  </si>
  <si>
    <t>Захира барои суғурта</t>
  </si>
  <si>
    <t>Захира барои ҳолатҳои ғайричашмдошт</t>
  </si>
  <si>
    <t>Захираи сармоявӣ</t>
  </si>
  <si>
    <t>Захираи аз нав баҳодиҳии қоғазҳои қиматнок</t>
  </si>
  <si>
    <t>Дигар захираҳои сармоявӣ</t>
  </si>
  <si>
    <t>Қарзҳои субординарии тахассусшуда</t>
  </si>
  <si>
    <t>САРМОЯ - ҲАМАГӢ</t>
  </si>
  <si>
    <t>ҲИСОБҲОИ ҒАЙРИТАВОЗУНӢ</t>
  </si>
  <si>
    <t>Воситаҳои ғайритавозунӣ - Ҳамагӣ</t>
  </si>
  <si>
    <t>Кафолатҳо</t>
  </si>
  <si>
    <t>Аккредитивҳо</t>
  </si>
  <si>
    <t>Созишномаҳои стэндбай</t>
  </si>
  <si>
    <t xml:space="preserve">Векселҳо </t>
  </si>
  <si>
    <t>Хати қарзҳои истифоданашуда</t>
  </si>
  <si>
    <t>қарзҳои истифоданашуда</t>
  </si>
  <si>
    <t>Қоғазҳои қиматнок</t>
  </si>
  <si>
    <t>Ӯҳдадориҳои андерайтингӣ</t>
  </si>
  <si>
    <t>Дороиҳои фурӯхташуда бо эҳтимолияти баргаштани онҳо ба бонкҳо</t>
  </si>
  <si>
    <t>Дигар ҳисобҳои ғайритавозунӣ</t>
  </si>
  <si>
    <t>Амалиётҳои форвардӣ</t>
  </si>
  <si>
    <t>Асъори хориҷии харидашуда</t>
  </si>
  <si>
    <t>Асъори хориҷии фурӯхташуда</t>
  </si>
  <si>
    <t>01.04.115</t>
  </si>
  <si>
    <t>Амалиётҳои своп</t>
  </si>
  <si>
    <t>01.04.120</t>
  </si>
  <si>
    <t xml:space="preserve">     Амалиётҳои хориҷии харидашуда</t>
  </si>
  <si>
    <t>01.04.125</t>
  </si>
  <si>
    <t xml:space="preserve">     Амалиётҳои хориҷии фурӯхташуда</t>
  </si>
  <si>
    <t>01.04.130</t>
  </si>
  <si>
    <t>Амалиётҳои своп фоизӣ</t>
  </si>
  <si>
    <t>01.04.135</t>
  </si>
  <si>
    <t>01.04.140</t>
  </si>
  <si>
    <t>01.04.145</t>
  </si>
  <si>
    <t xml:space="preserve">Сармояи эълоншудаи саҳомӣ - саҳмияҳои имтиёздор </t>
  </si>
  <si>
    <t>01.04.150</t>
  </si>
  <si>
    <t xml:space="preserve">Сармояи эълоншудаи саҳомӣ - саҳмияҳои оддӣ </t>
  </si>
  <si>
    <t>12.04.015</t>
  </si>
  <si>
    <t>12.04.020</t>
  </si>
  <si>
    <t>12.04.025</t>
  </si>
  <si>
    <t>12.04.030</t>
  </si>
  <si>
    <t>12.04.035</t>
  </si>
  <si>
    <t>12.04.040</t>
  </si>
  <si>
    <t>12.04.045</t>
  </si>
  <si>
    <t>12.04.050</t>
  </si>
  <si>
    <t>12.04.055</t>
  </si>
  <si>
    <t>12.04.060</t>
  </si>
  <si>
    <t>12.04.065</t>
  </si>
  <si>
    <t>09.01.050</t>
  </si>
  <si>
    <t>02.01.520</t>
  </si>
  <si>
    <t>02.01.145</t>
  </si>
  <si>
    <t>02.01.180</t>
  </si>
  <si>
    <t>03.01.090</t>
  </si>
  <si>
    <t>03.01.095</t>
  </si>
  <si>
    <t>03.01.100</t>
  </si>
  <si>
    <t>04.01.335</t>
  </si>
  <si>
    <t>04.01.060</t>
  </si>
  <si>
    <t>04.01.065</t>
  </si>
  <si>
    <t>04.01.070</t>
  </si>
  <si>
    <t>04.01.075</t>
  </si>
  <si>
    <t>04.01.080</t>
  </si>
  <si>
    <t>04.01.085</t>
  </si>
  <si>
    <t>04.01.090</t>
  </si>
  <si>
    <t>04.01.195</t>
  </si>
  <si>
    <t>04.01.200</t>
  </si>
  <si>
    <t>04.01.095</t>
  </si>
  <si>
    <t>04.01.100</t>
  </si>
  <si>
    <t>04.01.105</t>
  </si>
  <si>
    <t>04.01.110</t>
  </si>
  <si>
    <t>04.01.115</t>
  </si>
  <si>
    <t>04.01.120</t>
  </si>
  <si>
    <t>04.01.125</t>
  </si>
  <si>
    <t>04.01.130</t>
  </si>
  <si>
    <t>04.01.135</t>
  </si>
  <si>
    <t>04.01.140</t>
  </si>
  <si>
    <t>04.01.145</t>
  </si>
  <si>
    <t>04.01.150</t>
  </si>
  <si>
    <t>04.01.155</t>
  </si>
  <si>
    <t>04.01.160</t>
  </si>
  <si>
    <t>04.01.165</t>
  </si>
  <si>
    <t>04.01.170</t>
  </si>
  <si>
    <t>04.01.175</t>
  </si>
  <si>
    <t>04.01.180</t>
  </si>
  <si>
    <t>04.01.185</t>
  </si>
  <si>
    <t>04.01.190</t>
  </si>
  <si>
    <t>04.01.205</t>
  </si>
  <si>
    <t>04.01.210</t>
  </si>
  <si>
    <t>04.01.215</t>
  </si>
  <si>
    <t>04.01.220</t>
  </si>
  <si>
    <t>04.01.225</t>
  </si>
  <si>
    <t>17.01.071</t>
  </si>
  <si>
    <t>17.01.072</t>
  </si>
  <si>
    <t>Нуқтаҳои интиқоли пул</t>
  </si>
  <si>
    <t>Марказҳои хизматрасонии бонкӣ</t>
  </si>
  <si>
    <t>17.01.029</t>
  </si>
  <si>
    <t>17.01.081</t>
  </si>
  <si>
    <t>17.01.082</t>
  </si>
  <si>
    <t>кортҳои қарзии истифоданашуда</t>
  </si>
  <si>
    <t>04.01.230</t>
  </si>
  <si>
    <t>04.01.235</t>
  </si>
  <si>
    <t>04.01.240</t>
  </si>
  <si>
    <t>04.01.245</t>
  </si>
  <si>
    <t>04.01.250</t>
  </si>
  <si>
    <t>04.01.255</t>
  </si>
  <si>
    <t>16.01.140</t>
  </si>
  <si>
    <t>05.02.000</t>
  </si>
  <si>
    <t>05.02.005</t>
  </si>
  <si>
    <t>05.02.010</t>
  </si>
  <si>
    <t>05.02.015</t>
  </si>
  <si>
    <t>05.02.020</t>
  </si>
  <si>
    <t>05.02.025</t>
  </si>
  <si>
    <t>05.02.030</t>
  </si>
  <si>
    <t>05.02.035</t>
  </si>
  <si>
    <t>05.02.040</t>
  </si>
  <si>
    <t>05.02.045</t>
  </si>
  <si>
    <t>05.02.050</t>
  </si>
  <si>
    <t>01.05.100</t>
  </si>
  <si>
    <t>01.05.105</t>
  </si>
  <si>
    <t>02.01.505</t>
  </si>
  <si>
    <t>01.04.060</t>
  </si>
  <si>
    <t>19.01.095</t>
  </si>
  <si>
    <t>03.01.000</t>
  </si>
  <si>
    <t>03.01.005</t>
  </si>
  <si>
    <t>03.01.010</t>
  </si>
  <si>
    <t>03.01.015</t>
  </si>
  <si>
    <t>03.01.020</t>
  </si>
  <si>
    <t>03.01.025</t>
  </si>
  <si>
    <t>03.01.030</t>
  </si>
  <si>
    <t>03.01.035</t>
  </si>
  <si>
    <t>03.01.040</t>
  </si>
  <si>
    <t>03.01.045</t>
  </si>
  <si>
    <t>03.01.050</t>
  </si>
  <si>
    <t>03.01.055</t>
  </si>
  <si>
    <t>03.01.065</t>
  </si>
  <si>
    <t>03.01.075</t>
  </si>
  <si>
    <t>04.01.000</t>
  </si>
  <si>
    <t>03.01.080</t>
  </si>
  <si>
    <t>03.01.085</t>
  </si>
  <si>
    <t>04.01.005</t>
  </si>
  <si>
    <t>04.01.010</t>
  </si>
  <si>
    <t>04.01.015</t>
  </si>
  <si>
    <t>04.01.020</t>
  </si>
  <si>
    <t>04.01.025</t>
  </si>
  <si>
    <t>04.01.030</t>
  </si>
  <si>
    <t>BALANCE SHEET - ASSETS</t>
  </si>
  <si>
    <t>BALANCE SHEET - LIABILITIES</t>
  </si>
  <si>
    <t>BALANCE SHEET - CAPITAL</t>
  </si>
  <si>
    <t xml:space="preserve">BALANCE SHEET - OFF                                        </t>
  </si>
  <si>
    <t>BREAKDOWN OF OTHER ASSETS AND LIABILITIES</t>
  </si>
  <si>
    <t>PROFIT AND LOSS</t>
  </si>
  <si>
    <t>CHANGES IN CAPITAL</t>
  </si>
  <si>
    <t>SECURITIES AND INVESTMENTS</t>
  </si>
  <si>
    <t>CLASSIFICATION OF ASSETS BY DEGREE OF RISK IN SOMONI</t>
  </si>
  <si>
    <t>CLASSIFICATION OF ASSETS BY DEGREE OF RISK IN FOREIGN CURENCY</t>
  </si>
  <si>
    <t>CHARGE OFFS, RECOVERIES AND NET CHARGE OFFS</t>
  </si>
  <si>
    <t>CHANGES IN ALL</t>
  </si>
  <si>
    <t xml:space="preserve">LARGE BORROWERS </t>
  </si>
  <si>
    <t>AFFILIATED LENDING</t>
  </si>
  <si>
    <t>DISTRIBUTION OF SELECTED ASSETS AND CONTINGENT LIABILITIES BY SECTORS</t>
  </si>
  <si>
    <t>DISTRIBUTIONS OF DEPOSITS BY SECTORS</t>
  </si>
  <si>
    <t>GAP ANALYSIS</t>
  </si>
  <si>
    <t>REMAINING MATURITES</t>
  </si>
  <si>
    <t>DEPOSITS BY AMOUNT</t>
  </si>
  <si>
    <t>PRUDENTIAL NORMS</t>
  </si>
  <si>
    <t>CAPITAL ADEQUACY REPORT  - ASSETS</t>
  </si>
  <si>
    <t>CAPITAL ADEQUACY REPORT  - OFF - BALANCE SHEET ITEMS</t>
  </si>
  <si>
    <t>CAPITAL ADUEQUACY REPORT - CAPITAL</t>
  </si>
  <si>
    <t>MONTHLY AVERAGES</t>
  </si>
  <si>
    <t>MISCELLANEOUS INFORMATION</t>
  </si>
  <si>
    <t>DISTRIBUTION OF INCOME</t>
  </si>
  <si>
    <t>FOREIGN EXCHANGE POSITION</t>
  </si>
  <si>
    <t>CONSUMER LENDING AND MICRO LENDING IN SOMONI BY DEGREE OF RISK</t>
  </si>
  <si>
    <t>CONSUMER LENDING AND MICRO LENDING IN FOREIGN CURRENCY BY DEGREE OF RISK</t>
  </si>
  <si>
    <t>BA01.01</t>
  </si>
  <si>
    <t>BL01.02</t>
  </si>
  <si>
    <t>BC01.03</t>
  </si>
  <si>
    <t>BO01.04</t>
  </si>
  <si>
    <t>BB01.05</t>
  </si>
  <si>
    <t>PL02.01</t>
  </si>
  <si>
    <t>CC03.01</t>
  </si>
  <si>
    <t>SI04.01</t>
  </si>
  <si>
    <t>OA05.01</t>
  </si>
  <si>
    <t>OA05.02</t>
  </si>
  <si>
    <t>CA06.01</t>
  </si>
  <si>
    <t>CA06.02</t>
  </si>
  <si>
    <t>CR07.01</t>
  </si>
  <si>
    <t>CA07.02</t>
  </si>
  <si>
    <t>LB08.01</t>
  </si>
  <si>
    <t>AL09.01</t>
  </si>
  <si>
    <t>DS11.01</t>
  </si>
  <si>
    <t>DD11.02</t>
  </si>
  <si>
    <t>GA12.01</t>
  </si>
  <si>
    <t>GA12.02</t>
  </si>
  <si>
    <t>RM12.03</t>
  </si>
  <si>
    <t>RM12.04</t>
  </si>
  <si>
    <t>DA13.01</t>
  </si>
  <si>
    <t>DA13.03</t>
  </si>
  <si>
    <t>PN14.01</t>
  </si>
  <si>
    <t>CA15.01</t>
  </si>
  <si>
    <t>CA15.02</t>
  </si>
  <si>
    <t>CA15.03</t>
  </si>
  <si>
    <t>CA15.04</t>
  </si>
  <si>
    <t>CA15.05</t>
  </si>
  <si>
    <t>MA16.01</t>
  </si>
  <si>
    <t>MI17.01</t>
  </si>
  <si>
    <t>DI18.01</t>
  </si>
  <si>
    <t>FX19.01</t>
  </si>
  <si>
    <t>CL20.01</t>
  </si>
  <si>
    <t>CL20.02</t>
  </si>
  <si>
    <t>T</t>
  </si>
  <si>
    <t>OB</t>
  </si>
  <si>
    <t>BINFO</t>
  </si>
  <si>
    <t>16.01.115</t>
  </si>
  <si>
    <t>16.01.120</t>
  </si>
  <si>
    <t>16.01.125</t>
  </si>
  <si>
    <t>16.01.130</t>
  </si>
  <si>
    <t>16.01.135</t>
  </si>
  <si>
    <t>04.01.035</t>
  </si>
  <si>
    <t>04.01.040</t>
  </si>
  <si>
    <t>04.01.045</t>
  </si>
  <si>
    <t>02.01.075</t>
  </si>
  <si>
    <t>02.01.080</t>
  </si>
  <si>
    <t>02.01.085</t>
  </si>
  <si>
    <t>02.01.090</t>
  </si>
  <si>
    <t>02.01.095</t>
  </si>
  <si>
    <t>02.01.100</t>
  </si>
  <si>
    <t>02.01.105</t>
  </si>
  <si>
    <t>02.01.110</t>
  </si>
  <si>
    <t>02.01.115</t>
  </si>
  <si>
    <t>02.01.120</t>
  </si>
  <si>
    <t>02.01.125</t>
  </si>
  <si>
    <t>02.01.130</t>
  </si>
  <si>
    <t>02.01.135</t>
  </si>
  <si>
    <t>02.01.140</t>
  </si>
  <si>
    <t>02.01.155</t>
  </si>
  <si>
    <t>04.01.050</t>
  </si>
  <si>
    <t>04.01.055</t>
  </si>
  <si>
    <t>04.01.260</t>
  </si>
  <si>
    <t>04.01.265</t>
  </si>
  <si>
    <t>04.01.270</t>
  </si>
  <si>
    <t>04.01.275</t>
  </si>
  <si>
    <t>04.01.280</t>
  </si>
  <si>
    <t>04.01.285</t>
  </si>
  <si>
    <t>04.01.290</t>
  </si>
  <si>
    <t>04.01.295</t>
  </si>
  <si>
    <t>04.01.300</t>
  </si>
  <si>
    <t>04.01.305</t>
  </si>
  <si>
    <t>04.01.310</t>
  </si>
  <si>
    <t>04.01.315</t>
  </si>
  <si>
    <t>04.01.320</t>
  </si>
  <si>
    <t>04.01.325</t>
  </si>
  <si>
    <t>04.01.330</t>
  </si>
  <si>
    <t>01.05.110</t>
  </si>
  <si>
    <t>05.01.000</t>
  </si>
  <si>
    <t>05.01.005</t>
  </si>
  <si>
    <t>07.01.000</t>
  </si>
  <si>
    <t>07.01.005</t>
  </si>
  <si>
    <t>07.01.010</t>
  </si>
  <si>
    <t>07.01.015</t>
  </si>
  <si>
    <t>07.01.020</t>
  </si>
  <si>
    <t>07.01.025</t>
  </si>
  <si>
    <t>07.01.030</t>
  </si>
  <si>
    <t>07.01.035</t>
  </si>
  <si>
    <t>07.01.040</t>
  </si>
  <si>
    <t>07.01.045</t>
  </si>
  <si>
    <t>07.01.050</t>
  </si>
  <si>
    <t>02.01.515</t>
  </si>
  <si>
    <t>05.01.010</t>
  </si>
  <si>
    <t>05.01.015</t>
  </si>
  <si>
    <t>05.01.020</t>
  </si>
  <si>
    <t>05.01.025</t>
  </si>
  <si>
    <t>05.01.030</t>
  </si>
  <si>
    <t>05.01.035</t>
  </si>
  <si>
    <t>05.01.040</t>
  </si>
  <si>
    <t>05.01.045</t>
  </si>
  <si>
    <t>05.01.050</t>
  </si>
  <si>
    <t>02.01.165</t>
  </si>
  <si>
    <t>02.01.170</t>
  </si>
  <si>
    <t>02.01.175</t>
  </si>
  <si>
    <t>12.01.016</t>
  </si>
  <si>
    <t>12.01.017</t>
  </si>
  <si>
    <t>12.02.016</t>
  </si>
  <si>
    <t>12.02.017</t>
  </si>
  <si>
    <t>12.03.016</t>
  </si>
  <si>
    <t>12.03.017</t>
  </si>
  <si>
    <t>12.04.016</t>
  </si>
  <si>
    <t>12.04.017</t>
  </si>
  <si>
    <t>02.01.185</t>
  </si>
  <si>
    <t>02.01.190</t>
  </si>
  <si>
    <t>02.01.195</t>
  </si>
  <si>
    <t>02.01.200</t>
  </si>
  <si>
    <t>02.01.205</t>
  </si>
  <si>
    <t>02.01.210</t>
  </si>
  <si>
    <t>02.01.215</t>
  </si>
  <si>
    <t>02.01.220</t>
  </si>
  <si>
    <t>02.01.225</t>
  </si>
  <si>
    <t>02.01.230</t>
  </si>
  <si>
    <t>02.01.235</t>
  </si>
  <si>
    <t>02.01.240</t>
  </si>
  <si>
    <t>02.01.245</t>
  </si>
  <si>
    <t>02.01.250</t>
  </si>
  <si>
    <t>02.01.255</t>
  </si>
  <si>
    <t>02.01.260</t>
  </si>
  <si>
    <t>02.01.265</t>
  </si>
  <si>
    <t>02.01.270</t>
  </si>
  <si>
    <t>02.01.275</t>
  </si>
  <si>
    <t>14.01.055</t>
  </si>
  <si>
    <t>14.01.060</t>
  </si>
  <si>
    <t>14.01.065</t>
  </si>
  <si>
    <t>14.01.070</t>
  </si>
  <si>
    <t>K6.1.</t>
  </si>
  <si>
    <t>02.01.280</t>
  </si>
  <si>
    <t>02.01.285</t>
  </si>
  <si>
    <t>02.01.290</t>
  </si>
  <si>
    <t>02.01.295</t>
  </si>
  <si>
    <t>02.01.300</t>
  </si>
  <si>
    <t>02.01.305</t>
  </si>
  <si>
    <t>02.01.310</t>
  </si>
  <si>
    <t>02.01.315</t>
  </si>
  <si>
    <t>02.01.320</t>
  </si>
  <si>
    <t>02.01.325</t>
  </si>
  <si>
    <t>02.01.330</t>
  </si>
  <si>
    <t>02.01.335</t>
  </si>
  <si>
    <t>02.01.340</t>
  </si>
  <si>
    <t>02.01.345</t>
  </si>
  <si>
    <t>02.01.350</t>
  </si>
  <si>
    <t>02.01.355</t>
  </si>
  <si>
    <t>02.01.360</t>
  </si>
  <si>
    <t>02.01.365</t>
  </si>
  <si>
    <t>02.01.370</t>
  </si>
  <si>
    <t>02.01.375</t>
  </si>
  <si>
    <t>02.01.380</t>
  </si>
  <si>
    <t>02.01.385</t>
  </si>
  <si>
    <t>02.01.390</t>
  </si>
  <si>
    <t>02.01.395</t>
  </si>
  <si>
    <t>02.01.400</t>
  </si>
  <si>
    <t>01.05.130</t>
  </si>
  <si>
    <t>02.01.405</t>
  </si>
  <si>
    <t>02.01.410</t>
  </si>
  <si>
    <t>02.01.415</t>
  </si>
  <si>
    <t>02.01.420</t>
  </si>
  <si>
    <t>02.01.425</t>
  </si>
  <si>
    <t>02.01.430</t>
  </si>
  <si>
    <t>02.01.435</t>
  </si>
  <si>
    <t>02.01.440</t>
  </si>
  <si>
    <t>02.01.445</t>
  </si>
  <si>
    <t>02.01.450</t>
  </si>
  <si>
    <t>02.01.455</t>
  </si>
  <si>
    <t>02.01.460</t>
  </si>
  <si>
    <t>02.01.465</t>
  </si>
  <si>
    <t xml:space="preserve">%-и сармоягузории корхона дар бонк </t>
  </si>
  <si>
    <t>Шакли таъминнок</t>
  </si>
  <si>
    <t>02.01.470</t>
  </si>
  <si>
    <t>02.01.475</t>
  </si>
  <si>
    <t>02.01.480</t>
  </si>
  <si>
    <t>02.01.485</t>
  </si>
  <si>
    <t>02.01.490</t>
  </si>
  <si>
    <t>02.01.495</t>
  </si>
  <si>
    <t>02.01.500</t>
  </si>
  <si>
    <t>06.01.000</t>
  </si>
  <si>
    <t>06.01.005</t>
  </si>
  <si>
    <t>06.01.010</t>
  </si>
  <si>
    <t>06.01.015</t>
  </si>
  <si>
    <t>06.01.020</t>
  </si>
  <si>
    <t>06.01.025</t>
  </si>
  <si>
    <t>06.01.035</t>
  </si>
  <si>
    <t>06.01.030</t>
  </si>
  <si>
    <t>06.01.040</t>
  </si>
  <si>
    <t>06.01.045</t>
  </si>
  <si>
    <t>06.01.050</t>
  </si>
  <si>
    <t>06.02.000</t>
  </si>
  <si>
    <t>06.02.005</t>
  </si>
  <si>
    <t>06.02.010</t>
  </si>
  <si>
    <t>06.02.015</t>
  </si>
  <si>
    <t>06.02.020</t>
  </si>
  <si>
    <t>06.02.025</t>
  </si>
  <si>
    <t>06.02.030</t>
  </si>
  <si>
    <t>06.02.035</t>
  </si>
  <si>
    <t>06.02.040</t>
  </si>
  <si>
    <t>06.02.045</t>
  </si>
  <si>
    <t>06.02.050</t>
  </si>
  <si>
    <t>01.03.110</t>
  </si>
  <si>
    <t>01.01.300</t>
  </si>
  <si>
    <t>01.01.305</t>
  </si>
  <si>
    <t>01.01.310</t>
  </si>
  <si>
    <t>01.01.315</t>
  </si>
  <si>
    <t>01.01.320</t>
  </si>
  <si>
    <t>01.05.070</t>
  </si>
  <si>
    <t xml:space="preserve">                          </t>
  </si>
  <si>
    <t xml:space="preserve"> г) mail box</t>
  </si>
  <si>
    <t>20.01.000</t>
  </si>
  <si>
    <t>20.01.005</t>
  </si>
  <si>
    <t>20.01.010</t>
  </si>
  <si>
    <t>20.01.015</t>
  </si>
  <si>
    <t>20.01.020</t>
  </si>
  <si>
    <t>20.01.025</t>
  </si>
  <si>
    <t>20.01.030</t>
  </si>
  <si>
    <t>20.01.035</t>
  </si>
  <si>
    <t>20.01.040</t>
  </si>
  <si>
    <t>20.01.045</t>
  </si>
  <si>
    <t>20.01.050</t>
  </si>
  <si>
    <t>20.01.055</t>
  </si>
  <si>
    <t>20.02.000</t>
  </si>
  <si>
    <t>20.02.005</t>
  </si>
  <si>
    <t>20.02.010</t>
  </si>
  <si>
    <t>20.02.015</t>
  </si>
  <si>
    <t>20.02.020</t>
  </si>
  <si>
    <t>20.02.025</t>
  </si>
  <si>
    <t>20.02.030</t>
  </si>
  <si>
    <t>20.02.035</t>
  </si>
  <si>
    <t>20.02.040</t>
  </si>
  <si>
    <t>12.03.070</t>
  </si>
  <si>
    <t>12.03.075</t>
  </si>
  <si>
    <t>12.04.070</t>
  </si>
  <si>
    <t>12.04.075</t>
  </si>
  <si>
    <t>20.02.045</t>
  </si>
  <si>
    <t>20.02.050</t>
  </si>
  <si>
    <t>20.02.055</t>
  </si>
  <si>
    <t>15.05.130</t>
  </si>
  <si>
    <t>01.01.325</t>
  </si>
  <si>
    <t>01.01.000</t>
  </si>
  <si>
    <t>01.01.005</t>
  </si>
  <si>
    <t>01.01.020</t>
  </si>
  <si>
    <t>01.01.030</t>
  </si>
  <si>
    <t>01.01.040</t>
  </si>
  <si>
    <t>01.01.050</t>
  </si>
  <si>
    <t>01.01.060</t>
  </si>
  <si>
    <t>01.01.070</t>
  </si>
  <si>
    <t>01.01.080</t>
  </si>
  <si>
    <t>01.01.090</t>
  </si>
  <si>
    <t>01.01.100</t>
  </si>
  <si>
    <t>01.01.110</t>
  </si>
  <si>
    <t>01.01.120</t>
  </si>
  <si>
    <t>01.01.130</t>
  </si>
  <si>
    <t>01.01.140</t>
  </si>
  <si>
    <t>01.01.150</t>
  </si>
  <si>
    <t>01.01.160</t>
  </si>
  <si>
    <t>01.01.170</t>
  </si>
  <si>
    <t>01.01.180</t>
  </si>
  <si>
    <t>01.01.190</t>
  </si>
  <si>
    <t>01.01.200</t>
  </si>
  <si>
    <t>01.01.210</t>
  </si>
  <si>
    <t>01.01.220</t>
  </si>
  <si>
    <t>01.01.230</t>
  </si>
  <si>
    <t>01.01.240</t>
  </si>
  <si>
    <t xml:space="preserve">         (имзо)     (ному насаб)</t>
  </si>
  <si>
    <t xml:space="preserve">                       ному насаб</t>
  </si>
  <si>
    <t xml:space="preserve">         имзо</t>
  </si>
  <si>
    <t>01.01.250</t>
  </si>
  <si>
    <t>01.01.015</t>
  </si>
  <si>
    <t>01.01.025</t>
  </si>
  <si>
    <t>01.01.035</t>
  </si>
  <si>
    <t>01.01.045</t>
  </si>
  <si>
    <t>01.01.055</t>
  </si>
  <si>
    <t>01.01.065</t>
  </si>
  <si>
    <t>01.01.075</t>
  </si>
  <si>
    <t>01.01.085</t>
  </si>
  <si>
    <t>01.01.095</t>
  </si>
  <si>
    <t>01.01.105</t>
  </si>
  <si>
    <t>01.01.115</t>
  </si>
  <si>
    <t>01.01.125</t>
  </si>
  <si>
    <t>01.01.135</t>
  </si>
  <si>
    <t>01.01.145</t>
  </si>
  <si>
    <t>01.01.155</t>
  </si>
  <si>
    <t>01.01.165</t>
  </si>
  <si>
    <t>01.01.175</t>
  </si>
  <si>
    <t>01.01.185</t>
  </si>
  <si>
    <t>01.01.195</t>
  </si>
  <si>
    <t>01.01.205</t>
  </si>
  <si>
    <t>01.01.215</t>
  </si>
  <si>
    <t>01.01.225</t>
  </si>
  <si>
    <t>01.01.235</t>
  </si>
  <si>
    <t>01.01.245</t>
  </si>
  <si>
    <t xml:space="preserve"> </t>
  </si>
  <si>
    <t>01.01.010</t>
  </si>
  <si>
    <t>01.01.255</t>
  </si>
  <si>
    <t>01.01.260</t>
  </si>
  <si>
    <t>01.01.265</t>
  </si>
  <si>
    <t>01.01.270</t>
  </si>
  <si>
    <t>01.01.275</t>
  </si>
  <si>
    <t>01.01.280</t>
  </si>
  <si>
    <t>01.01.285</t>
  </si>
  <si>
    <t>01.01.290</t>
  </si>
  <si>
    <t>01.01.295</t>
  </si>
  <si>
    <t>AUD 036</t>
  </si>
  <si>
    <t>USD 840</t>
  </si>
  <si>
    <t>DKK 208</t>
  </si>
  <si>
    <t>IRR 364</t>
  </si>
  <si>
    <t>ISK 352</t>
  </si>
  <si>
    <t>CAD 124</t>
  </si>
  <si>
    <t>CNY 156</t>
  </si>
  <si>
    <t>KWD 414</t>
  </si>
  <si>
    <t>NOK 578</t>
  </si>
  <si>
    <t>SGD 702</t>
  </si>
  <si>
    <t>SEK 752</t>
  </si>
  <si>
    <t>EUR 978</t>
  </si>
  <si>
    <t>JPY 392</t>
  </si>
  <si>
    <t xml:space="preserve">Фоидаи тақсимнашуда/зарари солҳои гузашта </t>
  </si>
  <si>
    <t>Фоидаи тақсимнашуда/зарари солҳои гузашта</t>
  </si>
  <si>
    <t>AMD 051</t>
  </si>
  <si>
    <t>BYR 974</t>
  </si>
  <si>
    <t>GEL 981</t>
  </si>
  <si>
    <t>KZT 398</t>
  </si>
  <si>
    <t>KGS 417</t>
  </si>
  <si>
    <t>LVL 428</t>
  </si>
  <si>
    <t>LTL 440</t>
  </si>
  <si>
    <t>MDL 498</t>
  </si>
  <si>
    <t>UZS 860</t>
  </si>
  <si>
    <t>UAH 980</t>
  </si>
  <si>
    <t>EEK 233</t>
  </si>
  <si>
    <t>AED 784</t>
  </si>
  <si>
    <t>SAR 682</t>
  </si>
  <si>
    <t>INR 356</t>
  </si>
  <si>
    <t>19.01.110</t>
  </si>
  <si>
    <t>19.01.115</t>
  </si>
  <si>
    <t>19.01.120</t>
  </si>
  <si>
    <t>19.01.125</t>
  </si>
  <si>
    <t>19.01.130</t>
  </si>
  <si>
    <t>19.01.135</t>
  </si>
  <si>
    <t>19.01.140</t>
  </si>
  <si>
    <t>19.01.145</t>
  </si>
  <si>
    <t>19.01.150</t>
  </si>
  <si>
    <t>5. Роҳбари масъул оиди сиёсати қарзии ташкилоти қарзӣ</t>
  </si>
  <si>
    <t xml:space="preserve">Захираи умумӣ (Захира аз ҳисоби фоида) </t>
  </si>
  <si>
    <t xml:space="preserve">Захираҳои умумӣ (Захира аз ҳисоби фоида) </t>
  </si>
  <si>
    <t>Маблағҳои қарзии дар ҷараёни пардохт</t>
  </si>
  <si>
    <t>19.01.155</t>
  </si>
  <si>
    <t>19.01.160</t>
  </si>
  <si>
    <t>19.01.165</t>
  </si>
  <si>
    <t>01.05.115</t>
  </si>
  <si>
    <t>01.05.120</t>
  </si>
  <si>
    <t>01.05.125</t>
  </si>
  <si>
    <t>01.03.000</t>
  </si>
  <si>
    <t>01.03.005</t>
  </si>
  <si>
    <t>01.03.010</t>
  </si>
  <si>
    <t>01.03.035</t>
  </si>
  <si>
    <t>01.03.040</t>
  </si>
  <si>
    <t>01.03.045</t>
  </si>
  <si>
    <t>01.03.050</t>
  </si>
  <si>
    <t>01.03.060</t>
  </si>
  <si>
    <t>01.03.065</t>
  </si>
  <si>
    <t>01.03.070</t>
  </si>
  <si>
    <t>01.03.075</t>
  </si>
  <si>
    <t>01.04.000</t>
  </si>
  <si>
    <t>01.04.005</t>
  </si>
  <si>
    <t>01.04.010</t>
  </si>
  <si>
    <t>01.04.015</t>
  </si>
  <si>
    <t>01.04.020</t>
  </si>
  <si>
    <t>01.04.025</t>
  </si>
  <si>
    <t>15.04.000</t>
  </si>
  <si>
    <t>01.04.030</t>
  </si>
  <si>
    <t>01.04.035</t>
  </si>
  <si>
    <t>01.04.040</t>
  </si>
  <si>
    <t>01.04.045</t>
  </si>
  <si>
    <t>18.01.000</t>
  </si>
  <si>
    <t>18.01.005</t>
  </si>
  <si>
    <t>18.01.010</t>
  </si>
  <si>
    <t>18.01.015</t>
  </si>
  <si>
    <t>18.01.020</t>
  </si>
  <si>
    <t>18.01.025</t>
  </si>
  <si>
    <t>18.01.030</t>
  </si>
  <si>
    <t>18.01.035</t>
  </si>
  <si>
    <t>18.01.040</t>
  </si>
  <si>
    <t>01.04.050</t>
  </si>
  <si>
    <t>01.04.055</t>
  </si>
  <si>
    <t>01.04.065</t>
  </si>
  <si>
    <t>01.04.070</t>
  </si>
  <si>
    <t>01.04.075</t>
  </si>
  <si>
    <t>01.04.080</t>
  </si>
  <si>
    <t>01.04.085</t>
  </si>
  <si>
    <t>01.04.090</t>
  </si>
  <si>
    <t>01.04.095</t>
  </si>
  <si>
    <t>01.04.100</t>
  </si>
  <si>
    <t>01.04.105</t>
  </si>
  <si>
    <t>01.05.000</t>
  </si>
  <si>
    <t>01.05.005</t>
  </si>
  <si>
    <t>01.05.010</t>
  </si>
  <si>
    <t>01.05.015</t>
  </si>
  <si>
    <t>01.05.020</t>
  </si>
  <si>
    <t>01.05.025</t>
  </si>
  <si>
    <t>01.05.030</t>
  </si>
  <si>
    <t>01.05.035</t>
  </si>
  <si>
    <t>01.05.040</t>
  </si>
  <si>
    <t>01.05.045</t>
  </si>
  <si>
    <t>01.05.050</t>
  </si>
  <si>
    <t>01.05.055</t>
  </si>
  <si>
    <t>01.05.060</t>
  </si>
  <si>
    <t>01.05.065</t>
  </si>
  <si>
    <t>01.05.075</t>
  </si>
  <si>
    <t>01.05.085</t>
  </si>
  <si>
    <t>01.05.090</t>
  </si>
  <si>
    <t>02.01.510</t>
  </si>
  <si>
    <t>01.02.155</t>
  </si>
  <si>
    <t>01.05.095</t>
  </si>
  <si>
    <t>08.01.000</t>
  </si>
  <si>
    <t>08.01.005</t>
  </si>
  <si>
    <t>08.01.010</t>
  </si>
  <si>
    <t>08.01.015</t>
  </si>
  <si>
    <t>08.01.020</t>
  </si>
  <si>
    <t>08.01.025</t>
  </si>
  <si>
    <t>08.01.030</t>
  </si>
  <si>
    <t>08.01.035</t>
  </si>
  <si>
    <t>08.01.040</t>
  </si>
  <si>
    <t>08.01.045</t>
  </si>
  <si>
    <t>08.01.050</t>
  </si>
  <si>
    <t>07.02.000</t>
  </si>
  <si>
    <t>09.01.000</t>
  </si>
  <si>
    <t>07.02.005</t>
  </si>
  <si>
    <t>07.02.015</t>
  </si>
  <si>
    <t>07.02.020</t>
  </si>
  <si>
    <t>07.02.025</t>
  </si>
  <si>
    <t>07.02.030</t>
  </si>
  <si>
    <t>07.02.035</t>
  </si>
  <si>
    <t>07.02.040</t>
  </si>
  <si>
    <t>08.01.055</t>
  </si>
  <si>
    <t>08.01.060</t>
  </si>
  <si>
    <t>08.01.065</t>
  </si>
  <si>
    <t>05.01.055</t>
  </si>
  <si>
    <t>05.02.055</t>
  </si>
  <si>
    <t>06.01.055</t>
  </si>
  <si>
    <t>06.02.055</t>
  </si>
  <si>
    <t>07.01.055</t>
  </si>
  <si>
    <t>01.02.000</t>
  </si>
  <si>
    <t>01.02.005</t>
  </si>
  <si>
    <t>01.02.010</t>
  </si>
  <si>
    <t>01.02.015</t>
  </si>
  <si>
    <t>01.02.020</t>
  </si>
  <si>
    <t>ҶАДВАЛИ 02.01. ҲИСОБОТ ОИД БА ФОИДА ВА ЗАРАР</t>
  </si>
  <si>
    <t>ҶАДВАЛИ 03.01. ТАҒЙИРОТ ДАР САРМОЯ</t>
  </si>
  <si>
    <t>ҶАДВАЛИ 08.01. ҚАРЗДОРОНИ КАЛОН</t>
  </si>
  <si>
    <t>ҶАДВАЛИ 14.01. МЕЪЁРҲОИ МАҚБУЛ</t>
  </si>
  <si>
    <t>ҶАДВАЛИ 16.01. НИШОНДИҲАНДАҲОИ МОҲОНАИ МИЁНА</t>
  </si>
  <si>
    <t>ҶАДВАЛИ 17.01. МАЪЛУМОТИ ИЛОВАГӢ</t>
  </si>
  <si>
    <t>ҶАДВАЛИ 18.01. ТАҚСИМОТИ ФОИДАИ СОФ</t>
  </si>
  <si>
    <t>ҶАДВАЛИ 19.01. МАВҚЕИ АСЪОРИ ХОРИҶӢ</t>
  </si>
  <si>
    <t>ҶАДВАЛИ 07.02. ТАҒЙИРОТ ДАР ФОНДИ ПӮШОНИДАНИ ТАЛАФОТИ ИМКОНПАЗИР АЗ РӮИ ҚАРЗҲО</t>
  </si>
  <si>
    <t>01.02.025</t>
  </si>
  <si>
    <t>01.02.030</t>
  </si>
  <si>
    <t>01.02.035</t>
  </si>
  <si>
    <t>01.02.040</t>
  </si>
  <si>
    <t>01.02.045</t>
  </si>
  <si>
    <t>01.02.050</t>
  </si>
  <si>
    <t>01.02.055</t>
  </si>
  <si>
    <t>01.02.060</t>
  </si>
  <si>
    <t>01.02.065</t>
  </si>
  <si>
    <t>01.02.070</t>
  </si>
  <si>
    <t>01.02.075</t>
  </si>
  <si>
    <t>01.02.080</t>
  </si>
  <si>
    <t>01.02.085</t>
  </si>
  <si>
    <t>01.02.090</t>
  </si>
  <si>
    <t>01.02.095</t>
  </si>
  <si>
    <t>01.02.100</t>
  </si>
  <si>
    <t>01.02.110</t>
  </si>
  <si>
    <t>01.02.115</t>
  </si>
  <si>
    <t>01.02.120</t>
  </si>
  <si>
    <t>01.02.125</t>
  </si>
  <si>
    <t>01.02.130</t>
  </si>
  <si>
    <t>01.02.135</t>
  </si>
  <si>
    <t>01.02.140</t>
  </si>
  <si>
    <t>01.02.145</t>
  </si>
  <si>
    <t>12.01.000</t>
  </si>
  <si>
    <t>12.01.005</t>
  </si>
  <si>
    <t>12.01.010</t>
  </si>
  <si>
    <t>12.01.015</t>
  </si>
  <si>
    <t>12.01.020</t>
  </si>
  <si>
    <t>12.01.025</t>
  </si>
  <si>
    <t>12.01.030</t>
  </si>
  <si>
    <t>14.01.100</t>
  </si>
  <si>
    <t>12.01.035</t>
  </si>
  <si>
    <t>12.01.040</t>
  </si>
  <si>
    <t>12.01.045</t>
  </si>
  <si>
    <t>12.01.050</t>
  </si>
  <si>
    <t>12.01.055</t>
  </si>
  <si>
    <t>12.01.060</t>
  </si>
  <si>
    <t>12.01.065</t>
  </si>
  <si>
    <t>15.04.145</t>
  </si>
  <si>
    <t>04.01.340</t>
  </si>
  <si>
    <t>04.01.345</t>
  </si>
  <si>
    <t>№</t>
  </si>
  <si>
    <t>01.02.150</t>
  </si>
  <si>
    <t>01.02.160</t>
  </si>
  <si>
    <t>01.02.165</t>
  </si>
  <si>
    <t>01.03.055</t>
  </si>
  <si>
    <t>01.03.085</t>
  </si>
  <si>
    <t>01.03.100</t>
  </si>
  <si>
    <t>01.03.105</t>
  </si>
  <si>
    <t>01.03.115</t>
  </si>
  <si>
    <t>01.03.120</t>
  </si>
  <si>
    <t>02.01.000</t>
  </si>
  <si>
    <t>02.01.005</t>
  </si>
  <si>
    <t>02.01.010</t>
  </si>
  <si>
    <t>02.01.015</t>
  </si>
  <si>
    <t>02.01.020</t>
  </si>
  <si>
    <t>02.01.025</t>
  </si>
  <si>
    <t>Қарзҳои истеъмолӣ</t>
  </si>
  <si>
    <t>Автомобилҳо</t>
  </si>
  <si>
    <t>Корти кредитӣ</t>
  </si>
  <si>
    <t>Дигар қарзҳои истеъмолӣ</t>
  </si>
  <si>
    <t>Қарзҳои хурд</t>
  </si>
  <si>
    <t>Пахтакорӣ</t>
  </si>
  <si>
    <t>Санъат ва ҳунар</t>
  </si>
  <si>
    <t>Қарзгири алоҳида</t>
  </si>
  <si>
    <t>DA13.05</t>
  </si>
  <si>
    <t>02.01.030</t>
  </si>
  <si>
    <t>02.01.035</t>
  </si>
  <si>
    <t>02.01.040</t>
  </si>
  <si>
    <t>02.01.045</t>
  </si>
  <si>
    <t>02.01.050</t>
  </si>
  <si>
    <t>02.01.055</t>
  </si>
  <si>
    <t>02.01.060</t>
  </si>
  <si>
    <t>02.01.065</t>
  </si>
  <si>
    <t>02.01.070</t>
  </si>
  <si>
    <t>11.01.060</t>
  </si>
  <si>
    <t>01.04.110</t>
  </si>
  <si>
    <t>09.01.005</t>
  </si>
  <si>
    <t>09.01.010</t>
  </si>
  <si>
    <t>09.01.015</t>
  </si>
  <si>
    <t>09.01.020</t>
  </si>
  <si>
    <t>09.01.025</t>
  </si>
  <si>
    <t>09.01.030</t>
  </si>
  <si>
    <t>09.01.035</t>
  </si>
  <si>
    <t>09.01.040</t>
  </si>
  <si>
    <t>09.01.045</t>
  </si>
  <si>
    <t>09.01.070</t>
  </si>
  <si>
    <t>12.02.015</t>
  </si>
  <si>
    <t>12.02.050</t>
  </si>
  <si>
    <t>12.02.055</t>
  </si>
  <si>
    <t>12.02.060</t>
  </si>
  <si>
    <t>К1.1</t>
  </si>
  <si>
    <t>К1.2</t>
  </si>
  <si>
    <t>13.03.000</t>
  </si>
  <si>
    <t>13.03.005</t>
  </si>
  <si>
    <t>13.03.010</t>
  </si>
  <si>
    <t>13.03.015</t>
  </si>
  <si>
    <t>13.03.020</t>
  </si>
  <si>
    <t>13.03.025</t>
  </si>
  <si>
    <t>13.03.030</t>
  </si>
  <si>
    <t>Департаменти назорати бонкӣ</t>
  </si>
  <si>
    <t>Бонки миллии Тоҷикистон</t>
  </si>
  <si>
    <t xml:space="preserve">        / санаи пешниҳод /</t>
  </si>
  <si>
    <t xml:space="preserve">      / рақами бақайдгирӣ /</t>
  </si>
  <si>
    <t xml:space="preserve">           / рӯз, моҳ, сол  /</t>
  </si>
  <si>
    <t>ҳисобот: - моҳона; солона; ислоҳот</t>
  </si>
  <si>
    <t>Тасдиқи санҷиши ҳисобот:</t>
  </si>
  <si>
    <t>/санҷиши дохили ташкилоти қарзӣ/</t>
  </si>
  <si>
    <t>/тасдиқи аудит/</t>
  </si>
  <si>
    <t>Ташкилоти қарзии ҳисоботсупор:</t>
  </si>
  <si>
    <t>Имзо ва тасдиқи ҳисобот</t>
  </si>
  <si>
    <t>Мо бо имзоҳои хеш тасдиқ менамоем, ки ин ҳисобот ва замимаҳо дар асоси дастурамалҳои Бонки миллии
Тоҷикистон омода шудаанд, ҳамчунин ҳисоботи мазкурро санҷида тасдиқ менамоем, ки дар санаи ҳисоботӣ ҳамаи маълумотҳои пешниҳодшаванда дуруст аст.</t>
  </si>
  <si>
    <t>1. Раиси Шӯрои нозирони ташкилотҳои қарзӣ</t>
  </si>
  <si>
    <t>2. Аъзои Шӯрои нозирони ташкилотҳои қарзӣ</t>
  </si>
  <si>
    <t>4. Сармуҳосиб</t>
  </si>
  <si>
    <t xml:space="preserve">    </t>
  </si>
  <si>
    <t>Фақат аз ҷониби  кормандони Департаменти назорати бонкӣ пур карда мешавад.</t>
  </si>
  <si>
    <t xml:space="preserve"> Ҳайати Раёсат</t>
  </si>
  <si>
    <t>Ҷои кор</t>
  </si>
  <si>
    <t>6. Роҳбари масъул оиди аудити дохилӣ</t>
  </si>
  <si>
    <t>1. Номгӯи пурраи ташкилоти қарзии
    ҳисоботдиҳанда</t>
  </si>
  <si>
    <t>2. Ном барои амалиёти байналмилалӣ,
    агар дигар бошад.</t>
  </si>
  <si>
    <t>3.Суроға:</t>
  </si>
  <si>
    <t xml:space="preserve"> а) номи шаҳр</t>
  </si>
  <si>
    <t xml:space="preserve"> б) маҳаллаи истиқомат</t>
  </si>
  <si>
    <t>4. Воситаҳои алоқа:</t>
  </si>
  <si>
    <t xml:space="preserve">5.  Номгӯи ширкати аудиторӣ, ки ҳисоботи
     ташкилоти қарзӣ санҷидааст. </t>
  </si>
  <si>
    <t>6. Андозаи сармояи оинномавӣ:</t>
  </si>
  <si>
    <t>а) Саҳмияҳои оддӣ</t>
  </si>
  <si>
    <t>Арзиши номиналӣ</t>
  </si>
  <si>
    <t>Миқдор</t>
  </si>
  <si>
    <t>Арзиши умумӣ</t>
  </si>
  <si>
    <t>б) Саҳмияҳои имтиёзнок</t>
  </si>
  <si>
    <t>Аккредитив</t>
  </si>
  <si>
    <t>Меъёри хавф</t>
  </si>
  <si>
    <t>ФАЪОЛИЯТИ БОНК</t>
  </si>
  <si>
    <t>CHF 756</t>
  </si>
  <si>
    <t>GBR 826</t>
  </si>
  <si>
    <t>Фоидаи соф</t>
  </si>
  <si>
    <t>Асъор #</t>
  </si>
  <si>
    <t>Индексатсияшуда</t>
  </si>
  <si>
    <t>Дароз (+)</t>
  </si>
  <si>
    <t>Ба:</t>
  </si>
  <si>
    <t>3. Раиси Раёсат</t>
  </si>
  <si>
    <t xml:space="preserve">вазифа </t>
  </si>
  <si>
    <t>Имзо</t>
  </si>
  <si>
    <t>Ному насаб</t>
  </si>
  <si>
    <t>Вазифа</t>
  </si>
  <si>
    <t>Телефон</t>
  </si>
  <si>
    <t>б) вазифа</t>
  </si>
  <si>
    <t>12.01.070</t>
  </si>
  <si>
    <t>12.01.075</t>
  </si>
  <si>
    <t>12.02.070</t>
  </si>
  <si>
    <t>12.02.075</t>
  </si>
  <si>
    <t>в) телефон</t>
  </si>
  <si>
    <t>14.01.050</t>
  </si>
  <si>
    <t>K3.3</t>
  </si>
  <si>
    <r>
      <t xml:space="preserve">Дороиҳои пардохтпазир
</t>
    </r>
    <r>
      <rPr>
        <sz val="12"/>
        <rFont val="Palatino Linotype"/>
        <family val="1"/>
        <charset val="204"/>
      </rPr>
      <t>Ӯҳдадориҳои кӯтоҳмуддат</t>
    </r>
  </si>
  <si>
    <t>21.01.015</t>
  </si>
  <si>
    <t>21.01.000</t>
  </si>
  <si>
    <t>21.01.005</t>
  </si>
  <si>
    <t>21.01.010</t>
  </si>
  <si>
    <t>21.01.020</t>
  </si>
  <si>
    <t>21.01.025</t>
  </si>
  <si>
    <t>21.01.030</t>
  </si>
  <si>
    <t>21.01.035</t>
  </si>
  <si>
    <t>21.01.040</t>
  </si>
  <si>
    <t>21.01.045</t>
  </si>
  <si>
    <t>21.01.050</t>
  </si>
  <si>
    <t>21.01.055</t>
  </si>
  <si>
    <t>21.01.060</t>
  </si>
  <si>
    <t>21.01.065</t>
  </si>
  <si>
    <t>BOROVING BANK</t>
  </si>
  <si>
    <t>Арзиши таъминнокӣ</t>
  </si>
  <si>
    <t>Номгӯи шахсони
алоқаманд</t>
  </si>
  <si>
    <t>Андозаи ниҳоии хавф барои як қарзгир - ташкилоти қарзӣ</t>
  </si>
  <si>
    <t>CL21.01</t>
  </si>
  <si>
    <t>15.05.066</t>
  </si>
  <si>
    <t>"тарҳи"   Қисми ғайрипулии сармояи оинномавӣ</t>
  </si>
  <si>
    <t>15.05.106</t>
  </si>
  <si>
    <t>15.05.107</t>
  </si>
  <si>
    <t>/ рӯз,моҳ, сол  /</t>
  </si>
  <si>
    <t>тайёр карда шуд:</t>
  </si>
  <si>
    <t>Шахси масъули таҳияи ҳисоботдиҳӣ:</t>
  </si>
  <si>
    <t>7. Дар санаи 31-уми декабр пардохтшуда:</t>
  </si>
  <si>
    <t>ҷойгиркунии муҳлатнок</t>
  </si>
  <si>
    <t>Фонди пӯшонидани талафотҳои имконпазир аз бонкҳои дар қаламрави Тоҷикистон</t>
  </si>
  <si>
    <t>Фонди пӯшонидани талафотҳои имконпазир аз бонкҳои берун аз қаламрави Тоҷикистон</t>
  </si>
  <si>
    <t>Фонди пӯшонидани талафотҳои имконпазир барои ташкилотҳои қарзии ғайрибонкии берун аз қаламрави Тоҷикистон</t>
  </si>
  <si>
    <t>Дисконт аз руи когазхои қиматноки</t>
  </si>
  <si>
    <t>Захираҳо барои коғазҳои қиматнок</t>
  </si>
  <si>
    <t>Маблағҳои дебитии дар ҷараёни гирифтан</t>
  </si>
  <si>
    <t>Амалиётҳо бо асъори хориҷӣ (СПОТ)</t>
  </si>
  <si>
    <t>УҲДАДОРИҲО</t>
  </si>
  <si>
    <t xml:space="preserve">барои ҷойгиркунии муҳлатнок </t>
  </si>
  <si>
    <t xml:space="preserve">ҷойгиркунии мухлатнок </t>
  </si>
  <si>
    <t>Фурӯши коғазҳои қиматнок ва бозхариди он дар асоси созишнома (РЕПО)</t>
  </si>
  <si>
    <t>Амонатҳои муҳлатнок</t>
  </si>
  <si>
    <t>Дигар  уҳдадориҳо - ҳамагӣ</t>
  </si>
  <si>
    <t>барои пардохт ба Саридораи бонк / шуъбаҳои бонк</t>
  </si>
  <si>
    <t>Дигар  уҳдадориҳо</t>
  </si>
  <si>
    <t>УҲДАДОРИҲО ҲАМАГӢ</t>
  </si>
  <si>
    <t>ҶАДВАЛИ 01.01. ДОРОИҲО</t>
  </si>
  <si>
    <t>ҶАДВАЛИ 01.02. УҲДАДОРИҲО</t>
  </si>
  <si>
    <t>ҶАДВАЛИ 01.03. САРМОЯ</t>
  </si>
  <si>
    <t>ҶАДВАЛИ 01.04. ҲИСОБҲОИ ҒАЙРИТАВОЗУНӢ</t>
  </si>
  <si>
    <t>ҶАДВАЛИ 01.05. ШАРҲИ ДИГАР ДОРОИҲО ВА УҲДАДОРИҲО</t>
  </si>
  <si>
    <t>САРМОЯ ВА УҲДАДОРИҲО - ҲАМАГӢ</t>
  </si>
  <si>
    <t>Дода  шуда</t>
  </si>
  <si>
    <t>Гарави ба бонк гузошташуда</t>
  </si>
  <si>
    <t>Дигар уҳдадориҳо - Ҳамагӣ</t>
  </si>
  <si>
    <t>Даромади фоизӣ ва дивидендҳо аз қоғазҳои қиматнок барои  савдо</t>
  </si>
  <si>
    <t>Mуҳлатнок</t>
  </si>
  <si>
    <t>Даромади соф пеш аз ҳолатҳои фавқулода</t>
  </si>
  <si>
    <t>Даромад/хароҷотҳои фавқулода</t>
  </si>
  <si>
    <t>Сармояи пардохташуда бар изофаи арзиши номиналӣ дар соли ҷорӣ</t>
  </si>
  <si>
    <t>ҶАДВАЛИ 04.01. КОҒАЗҲОИ ҚИМАТНОК ВА САРМОЯГУЗОРӢ</t>
  </si>
  <si>
    <t xml:space="preserve">      Захира барои коғазҳои қиматнок баровардашуда барои савдо</t>
  </si>
  <si>
    <t xml:space="preserve">      Дисконт аз рӯи коғазҳои қиматноки карзӣ то муҳлати пардохт</t>
  </si>
  <si>
    <t>Коғазҳои қиматнок ва сармоягузорӣ</t>
  </si>
  <si>
    <t>Коғазҳои қиматнок ва сармоягузориҳо - Ҳамагӣ</t>
  </si>
  <si>
    <t>Коғазҳои қиматноки барои савдо - Ҳамагӣ</t>
  </si>
  <si>
    <t>Коғазҳои қиматноки қарзӣ</t>
  </si>
  <si>
    <t>Коғазҳои қиматноки қарзии корхонаҳои давлатӣ</t>
  </si>
  <si>
    <t xml:space="preserve">Коғазҳои қиматноки қарзии аз ҷониби ҳукуматҳои маҳаллӣ баровардашуда </t>
  </si>
  <si>
    <t>Коғазҳои қиматноки қарзии аз ҷониби давлатҳои аъзои ИДММ баровардашуда</t>
  </si>
  <si>
    <t>Коғазҳои қиматноки қарзии аз ҷониби давлатҳои аъзои ТҲИТ баровардашуда</t>
  </si>
  <si>
    <t>Коғазҳои қиматноки қарзии аз ҷониби давлатҳои дигар баровардашуда</t>
  </si>
  <si>
    <t>Коғазҳои қиматноки қарзии аз ҷониби корхонаҳои дар қаламрави Тоҷикистон баровардашуда</t>
  </si>
  <si>
    <t>Коғазҳои қиматноки қарзии аз ҷониби корхонаҳои берун аз қаламрави Тоҷикистон  бароварда</t>
  </si>
  <si>
    <t>Коғазҳои қиматноки қарзии аз ҷониби бонкҳои дар каламрави Точикистон баровардашуда</t>
  </si>
  <si>
    <t>Коғазҳои қиматноки қарзии аз ҷониби бонкҳои берун аз қаламрави Тоҷикистон  баровардашуда</t>
  </si>
  <si>
    <t>Коғазҳои қиматноки қарзии аз ҷониби  ташкилотҳои қарзии ғайрибонкӣ баровардашуда</t>
  </si>
  <si>
    <t xml:space="preserve">Коғазҳои қиматноки қарзии таҳти гарави амалиёти РЕПО </t>
  </si>
  <si>
    <t>Коғазҳои қиматнок барои фурӯш - Ҳамагӣ</t>
  </si>
  <si>
    <t>Коғазҳои қиматноки қарзии аз ҷониби ҳукуматҳои маҳаллӣ баровардашуда</t>
  </si>
  <si>
    <t>Коғазҳои қиматноки қарзии аз ҷониби корхонаҳои берун аз қаламрави Тоҷикистон бароварда</t>
  </si>
  <si>
    <t>Коғазҳои қиматноки қарзии аз ҷониби бонкҳои дар қаламрави Тоҷикистон  баровардашуда</t>
  </si>
  <si>
    <t>Коғазҳои қиматноки қарзии аз ҷониби бонкҳои берун аз қаламрави Тоҷикистон баровардашуда</t>
  </si>
  <si>
    <t>Коғазҳои қиматноки қарзии  аз ҷониби  ташкилотҳои қарзии ғайрибонкӣ баровардашуда</t>
  </si>
  <si>
    <t>Коғазҳои қиматноки қарзии аз ҷониби бонкҳои дар қаламрави Тоҷикистон баровардашуда</t>
  </si>
  <si>
    <t>Коғазҳои қиматноки қарзии аз ҷониби ташкилотҳои қарзии ғайрибонкӣ баровардашуда</t>
  </si>
  <si>
    <t xml:space="preserve">      Захира барои коғазҳои қиматнок барои фурӯш</t>
  </si>
  <si>
    <t>Коғазҳои қиматноки то муҳлати пардохт нигоҳдошта - Ҳамагӣ</t>
  </si>
  <si>
    <t xml:space="preserve">      Захира барои коғазҳои қиматноки то муҳлати пардохт нигоҳдошта ва сармоягузориҳо</t>
  </si>
  <si>
    <t>ҶАДВАЛИ 05.01. ДОРОИҲОИ БА ТАЪХИРАФТОДА БО ПУЛИ МИЛЛӢ</t>
  </si>
  <si>
    <t>Ҷойгиркунии муҳлатноки    
байнибонкӣ</t>
  </si>
  <si>
    <t>Ҷойгиркунии муҳлатнок ба ташкилотҳои қарзии ғайрибонкӣ</t>
  </si>
  <si>
    <t>ҶАДВАЛИ 05.02. ДОРОИҲОИ БАТАЪХИРАФТОДА БО АСЪОРИ ХОРИҶӢ</t>
  </si>
  <si>
    <t>ҶАДВАЛИ 06.01. ТАСНИФИ ДОРОИҲО АЗ РӮИ ХАВФ БО ПУЛИ МИЛЛӢ</t>
  </si>
  <si>
    <t>Шубҳанок</t>
  </si>
  <si>
    <t>Ҷойгиркунии муҳлатноки
байнибонкӣ</t>
  </si>
  <si>
    <t>ҶАДВАЛИ 06.02. ТАСНИФИ ДОРОИҲО АЗ РӮИ ХАВФ БО АСЪОРИ ХОРИҶӢ</t>
  </si>
  <si>
    <t>ҶАДВАЛИ 07.01. АЗ ҲИСОБ ХОРИҶ КАРДАН ВА БАРҚАРОРКУНИИ ДОРОИҲОИ МОЛИЯВӢ</t>
  </si>
  <si>
    <t>Ҷойгиркунии муҳлатноки байнибонкӣ</t>
  </si>
  <si>
    <t>ҶАДВАЛИ 11.01. ГУРӮҲБАНДИИ ДОРОИҲО ВА ҲИСОБҲОИ ҒАЙРИТАВОЗУНӢ АЗ РӮИ СОҲАҲО</t>
  </si>
  <si>
    <t>ҶАДВАЛИ 11.02. ГУРӮҲБАНДИИ АМОНАТҲО АЗ РӮИ СОҲАҲО</t>
  </si>
  <si>
    <t xml:space="preserve"> Бақияи муҳлати пардохт/Имконияти тағйир додани фоиз</t>
  </si>
  <si>
    <t>Бақияи муҳлати пардохт/Имконияти тағйир додани фоиз</t>
  </si>
  <si>
    <t>Уҳдадориҳо</t>
  </si>
  <si>
    <t>ҶАДВАЛИ 12.03. БАҚИЯИ МУҲЛАТИ ПАРДОХТ</t>
  </si>
  <si>
    <t>ҶАДВАЛИ 12.04. БАҚИЯИ МУҲЛАТИ ПАРДОХТ</t>
  </si>
  <si>
    <t xml:space="preserve"> Бақияи муҳлати пардохт</t>
  </si>
  <si>
    <t>Бақияи муҳлати пардохт</t>
  </si>
  <si>
    <t>ҶАДВАЛИ 13.01. ТАСНИФИ АМОНАТҲО АЗ РӮИ МАБЛАҒ</t>
  </si>
  <si>
    <t>ҶАДВАЛИ 13.03. ТАСНИФИ АМОНАТҲО АЗ РӮИ МАБЛАҒ</t>
  </si>
  <si>
    <t>ҶАДВАЛИ 13.05. ТАСНИФИ АМОНАТҲО АЗ РӮИ МАБЛАҒ</t>
  </si>
  <si>
    <t>ҲАМАИ ШУЪБАҲО</t>
  </si>
  <si>
    <t>АМОНАТҲОИ МУҲЛАТНОК</t>
  </si>
  <si>
    <t>РАМЗ</t>
  </si>
  <si>
    <r>
      <t xml:space="preserve">Сармояи танзимшаванда - ҳамагӣ
</t>
    </r>
    <r>
      <rPr>
        <sz val="12"/>
        <rFont val="Palatino Linotype"/>
        <family val="1"/>
        <charset val="204"/>
      </rPr>
      <t>Дороиҳои бо назардошти хавф баркашида</t>
    </r>
  </si>
  <si>
    <r>
      <t xml:space="preserve">Сармояи танзимшаванда - ҳамагӣ
</t>
    </r>
    <r>
      <rPr>
        <sz val="12"/>
        <rFont val="Palatino Linotype"/>
        <family val="1"/>
        <charset val="204"/>
      </rPr>
      <t>Дороиҳои умумӣ</t>
    </r>
  </si>
  <si>
    <r>
      <t xml:space="preserve">Қарз ба қарзгирони калон
</t>
    </r>
    <r>
      <rPr>
        <sz val="12"/>
        <rFont val="Palatino Linotype"/>
        <family val="1"/>
        <charset val="204"/>
      </rPr>
      <t>Сармояи танзимшаванда - ҳамагӣ</t>
    </r>
  </si>
  <si>
    <r>
      <t xml:space="preserve">Ҷамъи қарзгирони калон
</t>
    </r>
    <r>
      <rPr>
        <sz val="12"/>
        <rFont val="Palatino Linotype"/>
        <family val="1"/>
        <charset val="204"/>
      </rPr>
      <t>Сармояи танзимшаванда - ҳамагӣ</t>
    </r>
  </si>
  <si>
    <r>
      <t xml:space="preserve">Қарзи байнибонкӣ
</t>
    </r>
    <r>
      <rPr>
        <sz val="12"/>
        <rFont val="Palatino Linotype"/>
        <family val="1"/>
        <charset val="204"/>
      </rPr>
      <t>Сармояи танзимшаванда - ҳамагӣ</t>
    </r>
  </si>
  <si>
    <r>
      <t xml:space="preserve">Ҷамъи қарзҳои шахсони вобаста
</t>
    </r>
    <r>
      <rPr>
        <sz val="12"/>
        <rFont val="Palatino Linotype"/>
        <family val="1"/>
        <charset val="204"/>
      </rPr>
      <t>Сармояи танзимшаванда - ҳамагӣ</t>
    </r>
  </si>
  <si>
    <r>
      <t xml:space="preserve">Сармоягузории  худӣ
</t>
    </r>
    <r>
      <rPr>
        <sz val="12"/>
        <rFont val="Palatino Linotype"/>
        <family val="1"/>
        <charset val="204"/>
      </rPr>
      <t>Сармояи танзимшаванда - ҳамагӣ</t>
    </r>
  </si>
  <si>
    <r>
      <t xml:space="preserve">Мавқеи умумии кушодаи дарози асъор
</t>
    </r>
    <r>
      <rPr>
        <sz val="12"/>
        <rFont val="Palatino Linotype"/>
        <family val="1"/>
        <charset val="204"/>
      </rPr>
      <t>Сармояи танзимшаванда - ҳамагӣ</t>
    </r>
  </si>
  <si>
    <r>
      <t xml:space="preserve">Асъори хориҷии қобили табдили озод
</t>
    </r>
    <r>
      <rPr>
        <sz val="12"/>
        <rFont val="Palatino Linotype"/>
        <family val="1"/>
        <charset val="204"/>
      </rPr>
      <t>Сармояи танзимшаванда - ҳамагӣ</t>
    </r>
  </si>
  <si>
    <r>
      <t xml:space="preserve">Асъори хориҷии ғайриқобили табдили озод
</t>
    </r>
    <r>
      <rPr>
        <sz val="12"/>
        <rFont val="Palatino Linotype"/>
        <family val="1"/>
        <charset val="204"/>
      </rPr>
      <t>Сармояи танзимшаванда - ҳамагӣ</t>
    </r>
  </si>
  <si>
    <r>
      <t xml:space="preserve">Мавқеи умумии кушодаи кӯтоҳи асъор
</t>
    </r>
    <r>
      <rPr>
        <sz val="12"/>
        <rFont val="Palatino Linotype"/>
        <family val="1"/>
        <charset val="204"/>
      </rPr>
      <t>Сармояи танзимшаванда - ҳамагӣ</t>
    </r>
  </si>
  <si>
    <r>
      <t xml:space="preserve">Асъори алоҳидаи қобили табдили озод
</t>
    </r>
    <r>
      <rPr>
        <sz val="12"/>
        <rFont val="Palatino Linotype"/>
        <family val="1"/>
        <charset val="204"/>
      </rPr>
      <t>Сармояи танзимшаванда - ҳамагӣ</t>
    </r>
  </si>
  <si>
    <r>
      <t xml:space="preserve">Асъори алоҳидаи ғайриқобили табдили озод
</t>
    </r>
    <r>
      <rPr>
        <sz val="12"/>
        <rFont val="Palatino Linotype"/>
        <family val="1"/>
        <charset val="204"/>
      </rPr>
      <t>Сармояи танзимшаванда - ҳамагӣ</t>
    </r>
  </si>
  <si>
    <r>
      <t xml:space="preserve">Қарз ба як шахси вобаста
</t>
    </r>
    <r>
      <rPr>
        <sz val="12"/>
        <rFont val="Palatino Linotype"/>
        <family val="1"/>
        <charset val="204"/>
      </rPr>
      <t>Сармояи танзимшаванда - ҳамагӣ</t>
    </r>
  </si>
  <si>
    <t>Барои гирифтан аз бонкҳои ғайрирезидент бо иҷозатномаи яке аз давлатҳои аъзои ТҲИТ набуда</t>
  </si>
  <si>
    <t>Барои гирифтан аз бонкҳои ғайрирезидент бо иҷозатномаи яке аз давлатҳои ТҲИТ</t>
  </si>
  <si>
    <t>Коғазҳои қиматноки корхонаҳои давлатӣ</t>
  </si>
  <si>
    <t>Коғазҳои қиматноки қарзии давлатҳои аъзои ТҲИТ</t>
  </si>
  <si>
    <t>Коғазҳои қиматноки бонкҳои ғайрирезидент бо иҷозатномаи яке аз давлатҳои аъзои ТҲИТ</t>
  </si>
  <si>
    <t>Коғазҳои қиматноки бонкҳои дар қаламрави Тоҷикистон</t>
  </si>
  <si>
    <t>Коғазҳои қиматноки бонкҳои ғайрирезидент бо иҷозатномаи яке аз давлатҳои аъзои ТҲИТ набуда</t>
  </si>
  <si>
    <t>Коғазҳои қиматноки қарзии аз ҷониби Ҳукуматҳои маҳаллӣ баровардашуда</t>
  </si>
  <si>
    <t>Коғазҳои қиматноки қарзии аз ҷониби давлатҳои аъзои ИДМ баровардашуда</t>
  </si>
  <si>
    <t>Коғазҳои қиматноки аз ҷониби ташкилотҳои қарзии ғайрибонкӣ баровардашуда</t>
  </si>
  <si>
    <t>Коғазҳои қиматноки қарзии аз ҷониби давлатҳои аъзои ТҲИТ набуда баровардашуда</t>
  </si>
  <si>
    <t>Коғазҳои қиматноки аз ҷониби корхонаҳои дар қаламрави Тоҷикистон баровардашуда</t>
  </si>
  <si>
    <t>Коғазҳои қиматноки аз ҷониби корхонаҳои берун аз қаламрави Тоҷикистон баровардашуда</t>
  </si>
  <si>
    <t>Қисмҳои истифоданашудаи уҳдадориҳо бо муҳлати пардохти шартномавӣ то як сол ё камтар</t>
  </si>
  <si>
    <t>Уҳдадориҳои андеррайтингӣ</t>
  </si>
  <si>
    <t>ҶАДВАЛИ 15.01. ҲИСОБОТ ОИД БА КИФОЯТИИ САРМОЯ</t>
  </si>
  <si>
    <t>ҶАДВАЛИ 15.02. ҲИСОБОТ ОИД БА КИФОЯТИИ САРМОЯ</t>
  </si>
  <si>
    <t>ҶАДВАЛИ 15.03. ҲИСОБОТ ОИД БА КИФОЯТИИ САРМОЯ</t>
  </si>
  <si>
    <t>ҶАДВАЛИ 15.04. ҲИСОБОТ ОИД БА КИФОЯТИИ САРМОЯ</t>
  </si>
  <si>
    <t>ҶАДВАЛИ 15.05. ҲИСОБОТ ОИД БА КИФОЯТИИ САРМОЯ</t>
  </si>
  <si>
    <t>Захираҳои умумӣ (агар аз ҳисоби фоидаи баъди пардохти
андозбандишуда ташаккул ёфтааст)</t>
  </si>
  <si>
    <t>Сармояи асосии соф</t>
  </si>
  <si>
    <t>Сармояи умумӣ (Сармояи асосии соф + Сармояи иловагӣ ҳангоми сармояи  иловагӣ на зиёда аз сармояи асоси соф буда; агар сармояи иловагӣ аз сармояи асосӣ зиёд бошад, онгоҳ сармояи умумӣ баробар аст ба сармояи асосӣ х 2)</t>
  </si>
  <si>
    <t>Коғазҳои қиматноки бонк</t>
  </si>
  <si>
    <t>Соҳибкории хурд ва миёна</t>
  </si>
  <si>
    <t>Дигар уҳдадориҳои фоизӣ</t>
  </si>
  <si>
    <t>Оё бонк дар давоми моҳ ба ташкилотҳо ё ширкатҳои молиявӣ сармоягузорӣ кард?</t>
  </si>
  <si>
    <t xml:space="preserve">                                           муҳлатнок</t>
  </si>
  <si>
    <t>ҶАДВАЛИ 20.01. ҚАРЗҲОИ ИСТЕЪМОЛӢ ВА ХУРД БО ПУЛИ МИЛЛӢ</t>
  </si>
  <si>
    <t>ҶАДВАЛИ 20.02. ҚАРЗҲОИ ИСТЕЪМОЛӢ ВА ХУРД БО АСЪОРИ ХОРИҶӢ</t>
  </si>
  <si>
    <t>Ташкилотҳои молиявӣ</t>
  </si>
  <si>
    <t>Барои гирифтан аз ташкилотҳои қарзии ғайрибонкӣ берун аз қаламрави Тоҷикистон</t>
  </si>
  <si>
    <t>Барои пардохт ба ташкилотҳои қарзии ғайрибонкӣ дар қаламрави Тоҷикистон</t>
  </si>
  <si>
    <t>Барои пардохт ба ташкилотҳои қарзии ғайрибонкӣ берун аз қаламрави Тоҷикистон</t>
  </si>
  <si>
    <t>г) намунаи имзо</t>
  </si>
  <si>
    <t xml:space="preserve"> в) индекс</t>
  </si>
  <si>
    <t xml:space="preserve"> а) телефон</t>
  </si>
  <si>
    <t xml:space="preserve"> б) факс</t>
  </si>
  <si>
    <t xml:space="preserve"> в) телекс</t>
  </si>
  <si>
    <t xml:space="preserve"> г) е-mail</t>
  </si>
  <si>
    <t xml:space="preserve">   а) эълоншуда</t>
  </si>
  <si>
    <t xml:space="preserve">  б) пардохташуда</t>
  </si>
  <si>
    <t>13.03.035</t>
  </si>
  <si>
    <t>13.03.040</t>
  </si>
  <si>
    <t>13.03.045</t>
  </si>
  <si>
    <t>13.03.050</t>
  </si>
  <si>
    <t>13.03.055</t>
  </si>
  <si>
    <t>13.03.060</t>
  </si>
  <si>
    <t>13.03.065</t>
  </si>
  <si>
    <t>13.04.000</t>
  </si>
  <si>
    <t>13.04.005</t>
  </si>
  <si>
    <t>13.04.010</t>
  </si>
  <si>
    <t>13.04.015</t>
  </si>
  <si>
    <t>13.04.020</t>
  </si>
  <si>
    <t>13.04.025</t>
  </si>
  <si>
    <t>13.04.030</t>
  </si>
  <si>
    <t>13.04.035</t>
  </si>
  <si>
    <t>13.04.040</t>
  </si>
  <si>
    <t>13.04.045</t>
  </si>
  <si>
    <t>13.04.050</t>
  </si>
  <si>
    <t>13.04.055</t>
  </si>
  <si>
    <t>13.04.060</t>
  </si>
  <si>
    <t>14.01.000</t>
  </si>
  <si>
    <t>14.01.005</t>
  </si>
  <si>
    <t>14.01.010</t>
  </si>
  <si>
    <t>14.01.015</t>
  </si>
  <si>
    <t>14.01.020</t>
  </si>
  <si>
    <t>14.01.025</t>
  </si>
  <si>
    <t>14.01.030</t>
  </si>
  <si>
    <t>14.01.045</t>
  </si>
  <si>
    <t>К2.1</t>
  </si>
  <si>
    <t>K3.1</t>
  </si>
  <si>
    <t>K3.2</t>
  </si>
  <si>
    <t>15.01.000</t>
  </si>
  <si>
    <t>15.01.005</t>
  </si>
  <si>
    <t>15.01.010</t>
  </si>
  <si>
    <t>15.01.015</t>
  </si>
  <si>
    <t>15.01.020</t>
  </si>
  <si>
    <t>15.01.025</t>
  </si>
  <si>
    <t>15.01.030</t>
  </si>
  <si>
    <t>15.01.035</t>
  </si>
  <si>
    <t>15.01.040</t>
  </si>
  <si>
    <t>15.01.045</t>
  </si>
  <si>
    <t>15.01.050</t>
  </si>
  <si>
    <t>15.01.055</t>
  </si>
  <si>
    <t>15.01.060</t>
  </si>
  <si>
    <t>15.01.065</t>
  </si>
  <si>
    <t>15.01.070</t>
  </si>
  <si>
    <t>15.01.075</t>
  </si>
  <si>
    <t>15.01.080</t>
  </si>
  <si>
    <t>15.01.085</t>
  </si>
  <si>
    <t>15.01.090</t>
  </si>
  <si>
    <t>15.01.095</t>
  </si>
  <si>
    <t>15.01.100</t>
  </si>
  <si>
    <t>15.01.105</t>
  </si>
  <si>
    <t>15.02.000</t>
  </si>
  <si>
    <t>15.02.005</t>
  </si>
  <si>
    <t>15.02.010</t>
  </si>
  <si>
    <t>15.02.015</t>
  </si>
  <si>
    <t>15.02.020</t>
  </si>
  <si>
    <t>15.02.025</t>
  </si>
  <si>
    <t>15.02.030</t>
  </si>
  <si>
    <t>15.02.035</t>
  </si>
  <si>
    <t>15.02.040</t>
  </si>
  <si>
    <t>15.02.045</t>
  </si>
  <si>
    <t>15.02.050</t>
  </si>
  <si>
    <t>15.02.055</t>
  </si>
  <si>
    <t>15.03.000</t>
  </si>
  <si>
    <t>15.03.005</t>
  </si>
  <si>
    <t>15.03.010</t>
  </si>
  <si>
    <t>15.03.015</t>
  </si>
  <si>
    <t>15.03.020</t>
  </si>
  <si>
    <t>15.03.025</t>
  </si>
  <si>
    <t>15.03.030</t>
  </si>
  <si>
    <t>15.03.035</t>
  </si>
  <si>
    <t>15.03.040</t>
  </si>
  <si>
    <t>15.03.045</t>
  </si>
  <si>
    <t>15.03.050</t>
  </si>
  <si>
    <t>15.03.055</t>
  </si>
  <si>
    <t>15.03.065</t>
  </si>
  <si>
    <t>15.03.070</t>
  </si>
  <si>
    <t>15.03.075</t>
  </si>
  <si>
    <t>Тилло</t>
  </si>
  <si>
    <t>Бино дар раванди сохтмон</t>
  </si>
  <si>
    <t>Њамагї</t>
  </si>
  <si>
    <t>Саноат</t>
  </si>
  <si>
    <t>Сохтмон</t>
  </si>
  <si>
    <t>Давлат</t>
  </si>
  <si>
    <t>Бо тиллои сабика таъмин шуда</t>
  </si>
  <si>
    <t>Сармояи изофа</t>
  </si>
  <si>
    <t>Фоидаи соли гузашта</t>
  </si>
  <si>
    <t>Савдо</t>
  </si>
  <si>
    <t xml:space="preserve">Фоида/зарари соли гузашта </t>
  </si>
  <si>
    <t>Созишномахои стэндбай</t>
  </si>
  <si>
    <t>Гирифта шуда</t>
  </si>
  <si>
    <t>Додашуда</t>
  </si>
  <si>
    <t>ДОРОИҲО</t>
  </si>
  <si>
    <t>Ҳамагӣ</t>
  </si>
  <si>
    <t>аз ҷумла бо асъори хориҷӣ</t>
  </si>
  <si>
    <t>Нақдина</t>
  </si>
  <si>
    <t>Ҳисоби ҷорӣ</t>
  </si>
  <si>
    <t>Захираҳои ҳатмӣ</t>
  </si>
  <si>
    <t>Барои гирифтан аз бонкҳо ва ташкилотҳои қарзии ғайрибонкӣ</t>
  </si>
  <si>
    <t xml:space="preserve">Барои гирифтан аз бонкҳои дар қаламрави Тоҷикистон </t>
  </si>
  <si>
    <t xml:space="preserve">ҳисобҳои мукотибавӣ/ҷорӣ </t>
  </si>
  <si>
    <t>ҷойгиркунии мӯҳлатнок</t>
  </si>
  <si>
    <t xml:space="preserve">қарзҳо </t>
  </si>
  <si>
    <t>қарзи субординарӣ</t>
  </si>
  <si>
    <t>01.01.056</t>
  </si>
  <si>
    <t>Барои гирифтан аз ташкилотҳои қарзии ғайрибонкӣ дар қаламрави Тоҷикистон</t>
  </si>
  <si>
    <t>01.01.061</t>
  </si>
  <si>
    <t>01.01.062</t>
  </si>
  <si>
    <t>01.01.063</t>
  </si>
  <si>
    <t>қарзҳо</t>
  </si>
  <si>
    <t>01.01.064</t>
  </si>
  <si>
    <t>Фонди пӯшонидани талафотҳои имконпазир барои ташкилотҳои қарзии ғайрибонкӣ дар қаламрави Тоҷикистон</t>
  </si>
  <si>
    <t>Барои гирифтан аз бонкҳои берун аз қаламрави Тоҷикистон</t>
  </si>
  <si>
    <t>ҳисобҳои мукотибавӣ/ҷорӣ</t>
  </si>
  <si>
    <t>01.01.091</t>
  </si>
  <si>
    <t>01.01.096</t>
  </si>
  <si>
    <t>01.01.097</t>
  </si>
  <si>
    <t>01.01.098</t>
  </si>
  <si>
    <t>01.01.099</t>
  </si>
  <si>
    <t>Хариди қоғазҳои қиматнок ва бозфурӯши он дар асоси созишнома (РЕПО)</t>
  </si>
  <si>
    <t>Қогазҳои қиматнок</t>
  </si>
  <si>
    <t>Бонкҳо</t>
  </si>
  <si>
    <t>Ташкилотҳои қарзии ғайрибонкӣ</t>
  </si>
  <si>
    <t>Давлатӣ</t>
  </si>
  <si>
    <t>Дигар қоғазҳои қиматнок</t>
  </si>
  <si>
    <t>01.01.136</t>
  </si>
  <si>
    <t>Дисконт аз руи когазхои киматноки</t>
  </si>
  <si>
    <t>Аксептҳо</t>
  </si>
  <si>
    <t>Аксептҳо барои гирифтан аз бонкҳои дар қаламрави Тоҷикистон</t>
  </si>
  <si>
    <t>санаи ҷорӣ</t>
  </si>
  <si>
    <t>1 -30 рӯз</t>
  </si>
  <si>
    <t>31 -90 рӯз</t>
  </si>
  <si>
    <t>91-180 рӯз</t>
  </si>
  <si>
    <t>181-365 рӯз</t>
  </si>
  <si>
    <t>Дороиҳо</t>
  </si>
  <si>
    <t>Қарзҳои байнибонкӣ ва дигар ташкилотҳои қарзии ғайрибонкӣ</t>
  </si>
  <si>
    <t>Қарзҳо ва иҷораи молиявӣ (лизинг)</t>
  </si>
  <si>
    <t>12.01.046</t>
  </si>
  <si>
    <t>12.01.047</t>
  </si>
  <si>
    <t xml:space="preserve">Барои пардохт ба бонкҳо ва ташкилотҳои 
қарзии ғайрибонкӣ            </t>
  </si>
  <si>
    <t>Қарзҳо барои пардохт ба бонкҳо ва дигар ташкилотҳои қарзии ғайрибонкӣ</t>
  </si>
  <si>
    <t>Фурӯши қоғазҳои қиматнок дар асоси
созишнома (РЕПО)</t>
  </si>
  <si>
    <t>Қоғазҳои қиматноки бонк</t>
  </si>
  <si>
    <t>12.03.046</t>
  </si>
  <si>
    <t>12.03.047</t>
  </si>
  <si>
    <t>АМОНАТҲОИ ДАРХОСТШАВАНДА</t>
  </si>
  <si>
    <t>ҲАМАГӢ</t>
  </si>
  <si>
    <t>БО СОМОНӢ</t>
  </si>
  <si>
    <t>Амонатҳои шахсони воқеӣ</t>
  </si>
  <si>
    <t>Маблағ</t>
  </si>
  <si>
    <t>Миқдори ҳисобҳо</t>
  </si>
  <si>
    <t>Амонатҳои шахсони ҳуқуқӣ</t>
  </si>
  <si>
    <t>ҶАМЪ :</t>
  </si>
  <si>
    <t>БО АСЪОРИ ХОРИҶӢ</t>
  </si>
  <si>
    <t>АМОНАТҲОИ ПАСАНДОЗӢ</t>
  </si>
  <si>
    <t>13.05.000</t>
  </si>
  <si>
    <t>13.05.005</t>
  </si>
  <si>
    <t>13.05.010</t>
  </si>
  <si>
    <t>13.05.015</t>
  </si>
  <si>
    <t>13.05.020</t>
  </si>
  <si>
    <t>13.05.025</t>
  </si>
  <si>
    <t>13.05.030</t>
  </si>
  <si>
    <t>13.05.035</t>
  </si>
  <si>
    <t>13.05.040</t>
  </si>
  <si>
    <t>13.05.045</t>
  </si>
  <si>
    <t>13.05.050</t>
  </si>
  <si>
    <t>13.05.055</t>
  </si>
  <si>
    <t>13.05.060</t>
  </si>
  <si>
    <t>13.05.065</t>
  </si>
  <si>
    <t>13.05.070</t>
  </si>
  <si>
    <t>13.06.000</t>
  </si>
  <si>
    <t>13.06.005</t>
  </si>
  <si>
    <t>13.06.010</t>
  </si>
  <si>
    <t>13.06.015</t>
  </si>
  <si>
    <t>13.06.020</t>
  </si>
  <si>
    <t>13.06.025</t>
  </si>
  <si>
    <t>13.06.030</t>
  </si>
  <si>
    <t>13.06.035</t>
  </si>
  <si>
    <t>13.06.040</t>
  </si>
  <si>
    <t>13.06.045</t>
  </si>
  <si>
    <t>13.06.050</t>
  </si>
  <si>
    <t>13.06.055</t>
  </si>
  <si>
    <t>13.06.060</t>
  </si>
  <si>
    <t>13.06.065</t>
  </si>
  <si>
    <t>13.06.070</t>
  </si>
  <si>
    <t>Cатрҳо</t>
  </si>
  <si>
    <t>Дороиҳои
тавозунӣ</t>
  </si>
  <si>
    <t>Дороиҳои бо назардошти хавф баркашидашуда</t>
  </si>
  <si>
    <t>Нақдина ва дигар ҳуҷҷатҳои пулӣ</t>
  </si>
  <si>
    <t>Ҳисобҳои мукотибавӣ/ҷорӣ</t>
  </si>
  <si>
    <t>Қарзҳо ва қарзи субординарӣ</t>
  </si>
  <si>
    <t>Ҷойгиркунии мӯҳлатнок</t>
  </si>
  <si>
    <t>Барои гирифтан аз бонкҳои резидент</t>
  </si>
  <si>
    <t>Бо бонкҳои ғайрирезидент бо иҷозатномаи яке аз давлати ТҲИТ</t>
  </si>
  <si>
    <t>Бо бонкҳои бо иҷозатномаи аз давлатҳои ғайри ТҲИТ</t>
  </si>
  <si>
    <t>Бо бонкҳои резидент</t>
  </si>
  <si>
    <t>Векселҳои давлатии хазинадорӣ</t>
  </si>
  <si>
    <t>Кафолатҳои давлати Тоҷикистон</t>
  </si>
  <si>
    <t>Бо векселҳои давлатии Тоҷикистон таъмин шуда</t>
  </si>
  <si>
    <t>Бо сертификатҳои амонатии БМТ таъмин шуда</t>
  </si>
  <si>
    <t>Бо металҳои қиматнок таъмин шуда</t>
  </si>
  <si>
    <t>Қарзҳо ба ташкилотҳои қарзии ғайрибонкӣ</t>
  </si>
  <si>
    <t>Дороиҳои бо назардошти хавф баркашидашуда - Ҳамагӣ</t>
  </si>
  <si>
    <t>Гурӯҳи 1</t>
  </si>
  <si>
    <t>Гурӯҳи 2</t>
  </si>
  <si>
    <t>Гурӯҳи 3</t>
  </si>
  <si>
    <t>Гурӯҳи 4</t>
  </si>
  <si>
    <t>Меъёри кифоятии сармоя (сатри 15.05.130/15.03.050)</t>
  </si>
  <si>
    <t>15.03.090</t>
  </si>
  <si>
    <t>15.03.095</t>
  </si>
  <si>
    <t>15.03.100</t>
  </si>
  <si>
    <t>15.03.105</t>
  </si>
  <si>
    <t>15.03.110</t>
  </si>
  <si>
    <t>15.03.115</t>
  </si>
  <si>
    <t>15.03.120</t>
  </si>
  <si>
    <t>Қисмҳои
ғайритавозунӣ</t>
  </si>
  <si>
    <t>Меъёри
табдилёбӣ</t>
  </si>
  <si>
    <t>Натиҷа</t>
  </si>
  <si>
    <t>Хатҳои қарзии истифоданашуда</t>
  </si>
  <si>
    <t>Пешниҳоди аккредитивҳои стэндбай</t>
  </si>
  <si>
    <t>Кафолатҳо (ивазкунандаи мақсадноки қарзҳо)</t>
  </si>
  <si>
    <t>Аккредитивҳои стэндбай</t>
  </si>
  <si>
    <t>Дороиҳои фурӯхташуда бо эҳтимолияти баргаштани онҳо ба бонк</t>
  </si>
  <si>
    <t>Қоғазҳои қиматноки гирифташуда</t>
  </si>
  <si>
    <t>Созишномаи форвардӣ</t>
  </si>
  <si>
    <t>15.04.141</t>
  </si>
  <si>
    <t>Қисм</t>
  </si>
  <si>
    <t>Маблағ бо сомонӣ</t>
  </si>
  <si>
    <t>Саҳмияҳои оддӣ</t>
  </si>
  <si>
    <t>Косибӣ ва бофандагӣ</t>
  </si>
  <si>
    <t>Саҳмияҳои имтиёзнок (ба таркиби сармояи асосӣ шомил аст)</t>
  </si>
  <si>
    <t>Захира барои амалиётҳои ояндаи бонкӣ</t>
  </si>
  <si>
    <t>Фоидаи соли ҷорӣ</t>
  </si>
  <si>
    <t>"тарҳи"   Зарари соли гузашта</t>
  </si>
  <si>
    <t>"тарҳи"   Зарари соли ҷорӣ</t>
  </si>
  <si>
    <t>"тарҳи"   Дороиҳои ғайримоддӣ</t>
  </si>
  <si>
    <t>Сармояи иловагӣ</t>
  </si>
  <si>
    <t>Захира барои азнавбаҳодиҳии қоғазҳои қиматнок</t>
  </si>
  <si>
    <t>Дигар захираҳо</t>
  </si>
  <si>
    <t>Қарзҳои субординарии тахассусёфта (на зиёда аз  50 %-и сармояи асосии холис)</t>
  </si>
  <si>
    <t>"тарҳи" сармоягузорӣ ба ташкилотҳои қарзӣ ва қарзии ғайрибонкӣ</t>
  </si>
  <si>
    <t>Сармояи танзимшаванда - Ҳамагӣ</t>
  </si>
  <si>
    <t xml:space="preserve">Ҳамагӣ </t>
  </si>
  <si>
    <t>Дороиҳо - Ҳамагӣ</t>
  </si>
  <si>
    <t>16.01.011</t>
  </si>
  <si>
    <t>Барои гирифтан аз ташкилотҳои қарзии ғайрибонкӣ</t>
  </si>
  <si>
    <t>Қарзҳои холис</t>
  </si>
  <si>
    <t>Маҷмӯи қарзҳо</t>
  </si>
  <si>
    <t>Давлат  (маҷмӯӣ)</t>
  </si>
  <si>
    <t>Тиҷорат (маҷмӯӣ)</t>
  </si>
  <si>
    <t>16.01.051</t>
  </si>
  <si>
    <t>Кишоварзӣ (маҷмӯӣ)</t>
  </si>
  <si>
    <t>Шахсони воқеӣ (маҷмӯӣ)</t>
  </si>
  <si>
    <t>Дигар (маҷмӯӣ)</t>
  </si>
  <si>
    <t>Иҷораи молиявӣ (лизинг) (маҷмӯӣ)</t>
  </si>
  <si>
    <t>16.01.071</t>
  </si>
  <si>
    <t xml:space="preserve">Дигар фоизи дороиҳои даромаднок </t>
  </si>
  <si>
    <t>Дороиҳои даромадноки фоизӣ - Ҳамагӣ</t>
  </si>
  <si>
    <t>Барои пардохт ба бонкҳо</t>
  </si>
  <si>
    <t>16.01.096</t>
  </si>
  <si>
    <t>Барои пардохт ба ташкилотҳои қарзии ғайрибонкӣ</t>
  </si>
  <si>
    <t>Фурӯши қоғазҳои қиматнок ва бозхариди он дар асоси созишнома (РЕПО)</t>
  </si>
  <si>
    <t>Қарзҳои субординарӣ</t>
  </si>
  <si>
    <t>Ӯҳдадориҳои фоизӣ - Ҳамагӣ</t>
  </si>
  <si>
    <t>Оё бонк дар давоми моҳ ягон шакли нави амалиётҳоро ҷорӣ кард?</t>
  </si>
  <si>
    <t>Оё бонк дар давоми моҳ меъёрҳои мақбулро вайрон кард?</t>
  </si>
  <si>
    <t>Фонди музди меҳнат, аз он ҷумла ёрдами молиявӣ ва дастгирии иҷтимоии кормандон</t>
  </si>
  <si>
    <t>17.01.026</t>
  </si>
  <si>
    <t>17.01.027</t>
  </si>
  <si>
    <t xml:space="preserve">                                           пасандозӣ</t>
  </si>
  <si>
    <t xml:space="preserve">                                           иҷораи молиявӣ (лизинг)</t>
  </si>
  <si>
    <t xml:space="preserve">                                           ипотека</t>
  </si>
  <si>
    <t>Дивидендҳо</t>
  </si>
  <si>
    <t>Фоидаи баъди дивидендҳо</t>
  </si>
  <si>
    <t>Захираҳои умумӣ</t>
  </si>
  <si>
    <t>Фоидаи тақсимнашуда</t>
  </si>
  <si>
    <t>Қисматҳои мавқеи асъори хориҷӣ</t>
  </si>
  <si>
    <t>Мавқеи асъори хориҷӣ</t>
  </si>
  <si>
    <t>Ғайритавозун</t>
  </si>
  <si>
    <t>Сохторӣ</t>
  </si>
  <si>
    <t>Кӯтоҳ (-)</t>
  </si>
  <si>
    <t>A</t>
  </si>
  <si>
    <t>B</t>
  </si>
  <si>
    <t>RUB 810</t>
  </si>
  <si>
    <t>AZM 944</t>
  </si>
  <si>
    <t>AGA 971</t>
  </si>
  <si>
    <t>TRL 949</t>
  </si>
  <si>
    <t>PLZ 985</t>
  </si>
  <si>
    <t>Аксептҳо барои гирифтан аз бонкҳои берун аз қаламрави Тоҷикистон</t>
  </si>
  <si>
    <t>Қарз ва Иҷораи молиявӣ (лизинг)</t>
  </si>
  <si>
    <t>Қарзҳо</t>
  </si>
  <si>
    <t>Тиҷоратӣ</t>
  </si>
  <si>
    <t>01.01.176</t>
  </si>
  <si>
    <t>Сохибкории хурд ва миёна</t>
  </si>
  <si>
    <t>Кишоварзӣ</t>
  </si>
  <si>
    <t>Шахсони воқеӣ</t>
  </si>
  <si>
    <t>Фонди пӯшонидани талафотҳои имконпазир аз рӯи қарзҳо - ҳамагӣ</t>
  </si>
  <si>
    <t>Иҷораи молиявӣ</t>
  </si>
  <si>
    <t>Фонди пӯшонидани талафотҳои имконпазир аз рӯи иҷораи молиявӣ - ҳамагӣ</t>
  </si>
  <si>
    <t>01.01.206</t>
  </si>
  <si>
    <t xml:space="preserve">Овердрафт </t>
  </si>
  <si>
    <t>01.01.207</t>
  </si>
  <si>
    <t>01.01.208</t>
  </si>
  <si>
    <t>01.01.209</t>
  </si>
  <si>
    <t>01.01.211</t>
  </si>
  <si>
    <t>01.01.212</t>
  </si>
  <si>
    <t>01.01.213</t>
  </si>
  <si>
    <t>01.01.214</t>
  </si>
  <si>
    <t>Фонди пӯшонидани талафотҳои имконпазир аз рӯи овердрафт - ҳамагӣ</t>
  </si>
  <si>
    <t>Сармоягузорӣ</t>
  </si>
  <si>
    <t>Ба бонкҳо</t>
  </si>
  <si>
    <t>Ба ташкилотҳои қарзии ғайрибонкӣ</t>
  </si>
  <si>
    <t>Дигар сармоягузориҳо</t>
  </si>
  <si>
    <t>01.01.236</t>
  </si>
  <si>
    <t>Захира барои сармоягузорӣ - ҳамагӣ</t>
  </si>
  <si>
    <t>Воситаҳои асосӣ</t>
  </si>
  <si>
    <t>Замин ва бинои бонк, ки барои гузаронидани амалиёти бонкӣ истифода бурда мешавад</t>
  </si>
  <si>
    <t>Бинои ба дигар ташкилотҳо иҷора додашуда</t>
  </si>
  <si>
    <t>Гаравҳои гирифташуда барои бозфурӯш</t>
  </si>
  <si>
    <t>Дигар воситаҳои асосӣ ва моддӣ</t>
  </si>
  <si>
    <t>Дороиҳои ғайримоддӣ</t>
  </si>
  <si>
    <t>Фарсоиш ва истеҳлоки воситаҳои асосӣ</t>
  </si>
  <si>
    <t>Дигар дороиҳо - Ҳамагӣ</t>
  </si>
  <si>
    <t>Барои гирифтан аз бонкҳо</t>
  </si>
  <si>
    <t>01.01.296</t>
  </si>
  <si>
    <t>Маблағҳои интиқолӣ</t>
  </si>
  <si>
    <t>Барои гирифтан аз Саридораи бонк/ шӯъба ва аз бонкҳо</t>
  </si>
  <si>
    <t>Воситаҳои молиявӣ</t>
  </si>
  <si>
    <t>Фоизҳои ҳисобшуда барои гирифтан</t>
  </si>
  <si>
    <t>Дигар дороиҳо</t>
  </si>
  <si>
    <t>01.01.321</t>
  </si>
  <si>
    <t>Дороиҳои мавқуф гузошташуда барои андоз аз фоида</t>
  </si>
  <si>
    <t>ДОРОИҲО - ҲАМАГӢ</t>
  </si>
  <si>
    <t>Пешпардохти изофагии андоз</t>
  </si>
  <si>
    <t>Нафака барои пардохт</t>
  </si>
  <si>
    <t>Фаъолияти бонк</t>
  </si>
  <si>
    <t>13.03.070</t>
  </si>
  <si>
    <t>13.01.070</t>
  </si>
  <si>
    <t>13.02.070</t>
  </si>
  <si>
    <t>13.04.070</t>
  </si>
  <si>
    <t>13.04.065</t>
  </si>
  <si>
    <t>Дархостшаванда</t>
  </si>
  <si>
    <t xml:space="preserve">Дигар </t>
  </si>
  <si>
    <t>Хайрия</t>
  </si>
  <si>
    <t>музди хизмати аудиторони беруна</t>
  </si>
  <si>
    <t xml:space="preserve">Тавозун  </t>
  </si>
  <si>
    <t>Пешпардохт</t>
  </si>
  <si>
    <t>Дивидендҳо барои гирифтан</t>
  </si>
  <si>
    <t>Металҳои қиматнок</t>
  </si>
  <si>
    <t>Камомади  хазина, нақдинаи хурд, чекҳо, чекҳои баргардонидашуда ва дигар ҳуҷҷатҳои хазинавӣ</t>
  </si>
  <si>
    <t>Ҳисобҳо барои гирифтан</t>
  </si>
  <si>
    <t>Дороиҳои амалнакунанда ва амонатҳои дар бонкҳои басташуда</t>
  </si>
  <si>
    <t>Китобҳо, лавозимот ва захираҳо</t>
  </si>
  <si>
    <t>Дивидендҳо барои пардохт</t>
  </si>
  <si>
    <t>Ҳисобҳои кредитии то маълумкунӣ</t>
  </si>
  <si>
    <t>Барзиёдии хазина, нақдинаи хурд, чекҳо, чекҳои баргардонидашуда ва дигар ҳуҷҷатҳои хазинавӣ</t>
  </si>
  <si>
    <t>Пардохтҳо ба фонди нафақа ва андоз аз даромади кормандон</t>
  </si>
  <si>
    <t>Ҳисобҳои амалнакунанда</t>
  </si>
  <si>
    <t>Барои пардохт ба давлати Тоҷикистон</t>
  </si>
  <si>
    <t>Фоизҳои гирифташуда</t>
  </si>
  <si>
    <t>02.01.011</t>
  </si>
  <si>
    <t>Даромади фоизӣ ва дивидендҳо аз қоғазҳои қиматнок барои фурӯш</t>
  </si>
  <si>
    <t>Даромади фоизӣ ва дивидендҳо аз қоғазҳои қиматноки то мӯҳлати пардохт</t>
  </si>
  <si>
    <t>02.01.041</t>
  </si>
  <si>
    <t>Дигар қарзҳо</t>
  </si>
  <si>
    <t>Иҷораи молиявӣ (лизинг)</t>
  </si>
  <si>
    <t>02.01.061</t>
  </si>
  <si>
    <t>Овердрафт</t>
  </si>
  <si>
    <t>Дигар даромадҳои фоизӣ</t>
  </si>
  <si>
    <t>Фоизҳои пардохташуда</t>
  </si>
  <si>
    <t>02.01.086</t>
  </si>
  <si>
    <t>Қоғазҳои қиматноки баровардашудаи бонк</t>
  </si>
  <si>
    <t>Пасандозӣ</t>
  </si>
  <si>
    <t>Қарзи субординарӣ</t>
  </si>
  <si>
    <t>02.01.116</t>
  </si>
  <si>
    <t>Хароҷотҳо аз дисконт</t>
  </si>
  <si>
    <t>Фурӯши қоғазҳои қиматнок ва бозхариди онҳо дар асоси созишнома (РЕПО)</t>
  </si>
  <si>
    <t>Дигар хароҷотҳои фоизӣ</t>
  </si>
  <si>
    <t>Даромад/Хароҷоти коммисионӣ ва хизматрасониҳои бонкӣ</t>
  </si>
  <si>
    <t>Даромад аз хизматрасонии қарзӣ</t>
  </si>
  <si>
    <t>Даромади комиссионӣ аз хизматрасонии бонкӣ</t>
  </si>
  <si>
    <t>Хароҷотҳо аз хизматрасонии қарзӣ</t>
  </si>
  <si>
    <t>Хароҷотҳои дигар/ҳақгузорӣ</t>
  </si>
  <si>
    <t>Натиҷаи холис</t>
  </si>
  <si>
    <t>Қоғазҳои қиматнок ва сармоягузорӣ</t>
  </si>
  <si>
    <t>Даромади азхудшуда аз рӯи қоғазҳои қиматнок ва cармоягузорӣ</t>
  </si>
  <si>
    <t>02.01.181</t>
  </si>
  <si>
    <t>Даромади азхуднашуда аз рӯи қоғазҳои қиматнок ва cармоягузорӣ</t>
  </si>
  <si>
    <t>Хароҷоти азхудшуда аз рӯи қоғазҳои қиматнок ва cармоягузорӣ</t>
  </si>
  <si>
    <t>02.01.186</t>
  </si>
  <si>
    <t>Хароҷоти азхуднашуда аз рӯи қоғазҳои қиматнок ва cармоягузорӣ</t>
  </si>
  <si>
    <t>Амалиётҳо бо асъори хориҷӣ</t>
  </si>
  <si>
    <t>Даромади азхудшуда аз рӯи амалиётҳо бо асъори хориҷӣ</t>
  </si>
  <si>
    <t>02.01.201</t>
  </si>
  <si>
    <t>Даромади азхуднашуда аз рӯи амалиётҳо бо асъори хориҷӣ</t>
  </si>
  <si>
    <t>Хароҷоти азхудшуда аз рӯи амалиётҳо бо асъори хориҷӣ</t>
  </si>
  <si>
    <t>02.01.206</t>
  </si>
  <si>
    <t>Хароҷоти азхуднашуда аз рӯи амалиётҳо бо асъори хориҷӣ</t>
  </si>
  <si>
    <t>Амалиётҳои ғайритавозунӣ</t>
  </si>
  <si>
    <t>Даромад аз амалиётҳои  ғайритавозунӣ</t>
  </si>
  <si>
    <t>Хароҷот аз амалиётҳои ғайритавозунӣ</t>
  </si>
  <si>
    <t>Дигар даромадҳо</t>
  </si>
  <si>
    <t>Иҷора (рента)</t>
  </si>
  <si>
    <t>Ҳисобҳои ба боварӣ асосёфта (трастӣ)</t>
  </si>
  <si>
    <t>Фурӯши воситаҳои асосӣ</t>
  </si>
  <si>
    <t>Фурӯши гарави гирифташуда</t>
  </si>
  <si>
    <t>Ҷарима аз бурди мурофиаи судӣ</t>
  </si>
  <si>
    <t>Пардохтҳо аз хайрия</t>
  </si>
  <si>
    <t>Амалиётҳои ислоҳии ҳисобкардашудаи соли гузашта</t>
  </si>
  <si>
    <t>Дигар хароҷотҳо</t>
  </si>
  <si>
    <t>Фурӯши гарави гузошташуда</t>
  </si>
  <si>
    <t>Ҷарима аз бохти мурофиаи судӣ</t>
  </si>
  <si>
    <t>Хароҷотҳои амалиётӣ</t>
  </si>
  <si>
    <t>Музди кор ва дигар хароҷотҳои кормандон</t>
  </si>
  <si>
    <t>музди кор ва мукофотпулии иловагӣ (бонус)</t>
  </si>
  <si>
    <t>дигар ҷуброн ва мусоида (субсидия)</t>
  </si>
  <si>
    <t>дигар пардохтҳо ба фонди иҷтимоӣ</t>
  </si>
  <si>
    <t>хароҷотҳои сафарҳои хизматӣ</t>
  </si>
  <si>
    <t>алоқа</t>
  </si>
  <si>
    <t>ҳаққи хизмати маслиҳатҳо</t>
  </si>
  <si>
    <t>Ҷарима ва ҷаримаи аҳдшиканӣ</t>
  </si>
  <si>
    <t>Хароҷотҳои  таҷҳизот</t>
  </si>
  <si>
    <t>пардохти иҷора</t>
  </si>
  <si>
    <t>хизматҳои коммуналӣ</t>
  </si>
  <si>
    <t>хароҷотҳо барои сӯзишворӣ</t>
  </si>
  <si>
    <t>хароҷотҳои фарсоишӣ ва истеҳлок</t>
  </si>
  <si>
    <t>андоз ва суғурта</t>
  </si>
  <si>
    <t>дигар хароҷотҳои амалиётӣ ва маъмурӣ</t>
  </si>
  <si>
    <t>Хароҷотҳо барои ташаккули ФПТИ</t>
  </si>
  <si>
    <t>аз рӯи қарзҳо</t>
  </si>
  <si>
    <t>аз рӯи иҷораи молиявӣ (лизинг)</t>
  </si>
  <si>
    <t>02.01.446</t>
  </si>
  <si>
    <t>аз рӯи овердрафт</t>
  </si>
  <si>
    <t>аз рӯи коғазҳои қиматнок</t>
  </si>
  <si>
    <t>аз рӯи сармоягузорӣ</t>
  </si>
  <si>
    <t>аз рӯи металҳои қиматбаҳо</t>
  </si>
  <si>
    <t>аз рӯи дигар  дороиҳо</t>
  </si>
  <si>
    <t xml:space="preserve">Кам кардани ФПТИ аз ҳисоби барқароркунии арзиши дороиҳо </t>
  </si>
  <si>
    <t>02.01.481</t>
  </si>
  <si>
    <t>аз рӯи қоғазҳои қиматнок</t>
  </si>
  <si>
    <t>Сармояи худӣ дар охири соли гузашта - Ҳамагӣ</t>
  </si>
  <si>
    <t>Тағйиротҳо ба сармояи худӣ, ки дар охири соли гузашта ба ҳисоб гирифта нашудаанд</t>
  </si>
  <si>
    <t>Сармояи ислоҳшудаи тавозун дар охири соли гузашта</t>
  </si>
  <si>
    <t>Саҳмияҳои оддӣ/имтиёзнок дар соли ҷорӣ пардохташуда</t>
  </si>
  <si>
    <t>Саҳмияҳои оддии бозхаридашуда дар соли ҷорӣ</t>
  </si>
  <si>
    <t>Тағйиротҳо дар захираҳо дар соли ҷорӣ (холис)</t>
  </si>
  <si>
    <t>Захира барои амалиётҳои ояндаи ташкилотҳои қарзӣ</t>
  </si>
  <si>
    <t>Захира барои азнавбаҳодиҳии воситаҳои асосӣ</t>
  </si>
  <si>
    <t>Тарҳи дивидендҳои нақди эълоншуда аз рўи саҳмияҳои оддӣ</t>
  </si>
  <si>
    <t>Тарҳи дивидендҳои нақди эълоншуда аз рўи саҳмияҳои имтиёзнок</t>
  </si>
  <si>
    <t>Дигар тағйирот ба сармояи худӣ (холис)</t>
  </si>
  <si>
    <t>Сармояи худӣ дар охири давраи ҳисоботӣ - Ҳамагӣ</t>
  </si>
  <si>
    <t>Сертификатҳои амонатии БМТ</t>
  </si>
  <si>
    <t>Векселҳои давлатии Тоҷикистон</t>
  </si>
  <si>
    <t>Вомбаргҳои давлатии Тоҷикистон</t>
  </si>
  <si>
    <t>04.01.076</t>
  </si>
  <si>
    <t>04.01.077</t>
  </si>
  <si>
    <t>Саҳмияҳо</t>
  </si>
  <si>
    <t xml:space="preserve">Cаҳмияҳои корхонаҳои давлатӣ </t>
  </si>
  <si>
    <t>Cаҳмияҳои бонкҳои дар каламрави Тоҷикистон</t>
  </si>
  <si>
    <t>Саҳмияҳои бонкҳои берун аз каламрави Тоҷикистон</t>
  </si>
  <si>
    <t>Cаҳмияҳои ташкилотҳои қарзии ғайрибонкӣ</t>
  </si>
  <si>
    <t xml:space="preserve">Саҳмияҳои корхонаҳо дар қаламрави Тоҷикистон </t>
  </si>
  <si>
    <t xml:space="preserve">Саҳмияҳои корхонаҳо берун аз қаламрави Тоҷикистон  </t>
  </si>
  <si>
    <t>04.01.111</t>
  </si>
  <si>
    <t>Саҳмияҳои таҳти гарави амалиёти РЕПО</t>
  </si>
  <si>
    <t>04.01.191</t>
  </si>
  <si>
    <t>04.01.192</t>
  </si>
  <si>
    <t xml:space="preserve">Cаҳмияҳои бонкҳои дар қаламрави Тоҷикистон </t>
  </si>
  <si>
    <t>Саҳмияҳои бонкҳои берун аз қаламрави Тоҷикистон</t>
  </si>
  <si>
    <t>Саҳмияҳои корхонаҳои дар қаламрави Тоҷикистон</t>
  </si>
  <si>
    <t>Саҳмияҳои корхонаҳои берун аз қаламрави Тоҷикистон</t>
  </si>
  <si>
    <t>04.01.226</t>
  </si>
  <si>
    <t>1. Роҳбари масъул оиди амалиётҳо бо асъори хориҷӣ</t>
  </si>
  <si>
    <t>2. Сармуҳосиби ташкилоти қарзӣ</t>
  </si>
  <si>
    <t>3. Роҳбари масъул оиди идоракунии пардохтпазирӣ</t>
  </si>
  <si>
    <t>4. Роҳбари молия</t>
  </si>
  <si>
    <t xml:space="preserve">5. Роҳбари масъул оиди ҳисоббаробаркунии байнибонкӣ    </t>
  </si>
  <si>
    <t xml:space="preserve"> Ҳайати Шӯрои нозирон</t>
  </si>
  <si>
    <t>04.01.306</t>
  </si>
  <si>
    <t>04.01.307</t>
  </si>
  <si>
    <t>Сармоягузориҳо</t>
  </si>
  <si>
    <t>Cаҳмияҳои бонкҳои дар қаламрави Тоҷикистон</t>
  </si>
  <si>
    <t>04.01.341</t>
  </si>
  <si>
    <t>Сатрҳо</t>
  </si>
  <si>
    <t>ҲАМАГӢ
(сутуни 3+5)</t>
  </si>
  <si>
    <t>Дороиҳои ҷорӣ (ба таъхир наафтода)</t>
  </si>
  <si>
    <t>05.01.011</t>
  </si>
  <si>
    <t>05.01.031</t>
  </si>
  <si>
    <t>05.01.032</t>
  </si>
  <si>
    <t>05.01.033</t>
  </si>
  <si>
    <t>05.01.034</t>
  </si>
  <si>
    <t>05.01.036</t>
  </si>
  <si>
    <t>05.01.037</t>
  </si>
  <si>
    <t>05.01.038</t>
  </si>
  <si>
    <t>Қарзҳои байнибонкӣ</t>
  </si>
  <si>
    <t>05.01.046</t>
  </si>
  <si>
    <t>Қарзҳои ба ташкилотҳои  
қарзии ғайрибонкӣ</t>
  </si>
  <si>
    <t>Ҳисобҳо барои гирифтан,  
дороиҳои амалнакунанда ва 
амонатҳо дар бонкҳои басташуда</t>
  </si>
  <si>
    <t>05.02.011</t>
  </si>
  <si>
    <t>05.02.031</t>
  </si>
  <si>
    <t>05.02.032</t>
  </si>
  <si>
    <t>05.02.033</t>
  </si>
  <si>
    <t>05.02.034</t>
  </si>
  <si>
    <t>05.02.036</t>
  </si>
  <si>
    <t>05.02.037</t>
  </si>
  <si>
    <t>05.02.038</t>
  </si>
  <si>
    <t>05.02.046</t>
  </si>
  <si>
    <t>Қолабӣ</t>
  </si>
  <si>
    <t>Ғайриқолабӣ</t>
  </si>
  <si>
    <t>Беэтимод</t>
  </si>
  <si>
    <t>06.01.011</t>
  </si>
  <si>
    <t>06.01.031</t>
  </si>
  <si>
    <t>06.01.032</t>
  </si>
  <si>
    <t>06.01.033</t>
  </si>
  <si>
    <t>06.01.034</t>
  </si>
  <si>
    <t>06.01.036</t>
  </si>
  <si>
    <t>06.01.037</t>
  </si>
  <si>
    <t>06.01.038</t>
  </si>
  <si>
    <t>06.01.046</t>
  </si>
  <si>
    <t>Ҳисобҳо барои гирифтан,
дороиҳои амалнакунанда ва
амонатҳо дар бонкҳои басташуда</t>
  </si>
  <si>
    <t>06.02.011</t>
  </si>
  <si>
    <t>06.02.031</t>
  </si>
  <si>
    <t>06.02.032</t>
  </si>
  <si>
    <t>06.02.033</t>
  </si>
  <si>
    <t>06.02.034</t>
  </si>
  <si>
    <t>06.02.036</t>
  </si>
  <si>
    <t>06.02.037</t>
  </si>
  <si>
    <t>06.02.038</t>
  </si>
  <si>
    <t>06.02.046</t>
  </si>
  <si>
    <t>Хориҷкунӣ</t>
  </si>
  <si>
    <t>Барқароркунӣ</t>
  </si>
  <si>
    <t>Фарқият</t>
  </si>
  <si>
    <t>07.01.011</t>
  </si>
  <si>
    <t>07.01.031</t>
  </si>
  <si>
    <t>07.01.046</t>
  </si>
  <si>
    <t>Ҳисобҳо барои гирифтан, дороиҳои амалнакунанда ва амонатҳо дар бонкҳои басташуда</t>
  </si>
  <si>
    <t>Қисми</t>
  </si>
  <si>
    <t>аз ҷумла бо
асъори хориҷӣ</t>
  </si>
  <si>
    <t>ФПТИ - аз рӯи қарзҳо</t>
  </si>
  <si>
    <t>дороиҳои барқароршуда  (ҷадвали 07.01.000 ва 07.01.030) Сутуни (4)</t>
  </si>
  <si>
    <t>дороиҳои хориҷ шуда (ҷадвали 07.01.000 ва 07.01.030) Сутуни (2)</t>
  </si>
  <si>
    <t>Ташкил кардани ФПТИ аз аввали сол</t>
  </si>
  <si>
    <t>Тағйиротҳо</t>
  </si>
  <si>
    <t>Бақияи ФПТИ дар охири давраи ҳисоботӣ</t>
  </si>
  <si>
    <t>Барои пардохт - БМТ</t>
  </si>
  <si>
    <t>Захира барои пардохти андоз</t>
  </si>
  <si>
    <t>САРМОЯ</t>
  </si>
  <si>
    <t>Даромади фоизии холис</t>
  </si>
  <si>
    <t>Гирифташуда</t>
  </si>
  <si>
    <t>Соҳаҳои иқтисодиёт</t>
  </si>
  <si>
    <t>Ҳисобҳои ғайритавозунӣ</t>
  </si>
  <si>
    <t>Ҳамагӣ бо сомонӣ</t>
  </si>
  <si>
    <t>Ҳамагӣ бо асъори хориҷӣ</t>
  </si>
  <si>
    <t>ФПТИ аз рӯи қарзҳо ва овердрафт</t>
  </si>
  <si>
    <t>бо сомонӣ</t>
  </si>
  <si>
    <t>бо асъори хориҷӣ</t>
  </si>
  <si>
    <t>Алоқа</t>
  </si>
  <si>
    <t>Нақлиёт</t>
  </si>
  <si>
    <t>Тиҷорат</t>
  </si>
  <si>
    <t>Ипотека</t>
  </si>
  <si>
    <t>Саноати коркардабароӣ</t>
  </si>
  <si>
    <t>Хизматрасонии маишӣ</t>
  </si>
  <si>
    <t>Қарзи истеъмолӣ</t>
  </si>
  <si>
    <t>Амонатҳои дархостӣ</t>
  </si>
  <si>
    <t>Фоидаи пеш аз пардохти андоз</t>
  </si>
  <si>
    <t xml:space="preserve">Андоз </t>
  </si>
  <si>
    <t>Сармояи асосии</t>
  </si>
  <si>
    <t>Таснифшуда</t>
  </si>
  <si>
    <t>БМТ</t>
  </si>
  <si>
    <t xml:space="preserve">Дигар  </t>
  </si>
  <si>
    <t>Ба БМТ</t>
  </si>
  <si>
    <t>Ба давлат</t>
  </si>
  <si>
    <t>а) ному насаб</t>
  </si>
  <si>
    <t>Хатарнок</t>
  </si>
  <si>
    <t>Беэътимод</t>
  </si>
  <si>
    <t>K6.1.1.</t>
  </si>
  <si>
    <t>K6.1.2.</t>
  </si>
  <si>
    <t>K6.1.3.</t>
  </si>
  <si>
    <t>K6.1.4.</t>
  </si>
  <si>
    <t>14.01.075</t>
  </si>
  <si>
    <t>14.01.080</t>
  </si>
  <si>
    <t>14.01.085</t>
  </si>
  <si>
    <t>K6.2.1.</t>
  </si>
  <si>
    <t>K6.2.2.</t>
  </si>
  <si>
    <t>14.01.090</t>
  </si>
  <si>
    <t>14.01.095</t>
  </si>
  <si>
    <t>K6.2.3.</t>
  </si>
  <si>
    <t>K6.2.4.</t>
  </si>
  <si>
    <t>Санаи пардохт</t>
  </si>
  <si>
    <t>Арзиши гарав</t>
  </si>
  <si>
    <t>Тасниф</t>
  </si>
  <si>
    <t xml:space="preserve">%-и сармоягузории бонк дар корхона </t>
  </si>
  <si>
    <t>Дигар</t>
  </si>
  <si>
    <t>Барои гирифтан аз БМТ</t>
  </si>
  <si>
    <t xml:space="preserve">аз 1 то 3 сол </t>
  </si>
  <si>
    <t xml:space="preserve">зиёда аз 3 сол </t>
  </si>
  <si>
    <t>Барои пардохт ба БМТ</t>
  </si>
  <si>
    <t>САРИДОРАИ БОНК</t>
  </si>
  <si>
    <t>то 1 000</t>
  </si>
  <si>
    <t>1 001-5 000</t>
  </si>
  <si>
    <t>5 001-20 000</t>
  </si>
  <si>
    <t>20 001-100 000</t>
  </si>
  <si>
    <t>100 001-ва зиёда</t>
  </si>
  <si>
    <t>15.04.005</t>
  </si>
  <si>
    <t>15.04.010</t>
  </si>
  <si>
    <t>15.04.015</t>
  </si>
  <si>
    <t>15.04.020</t>
  </si>
  <si>
    <t>15.04.025</t>
  </si>
  <si>
    <t>15.04.030</t>
  </si>
  <si>
    <t>Номгӯи қарздорон</t>
  </si>
  <si>
    <t>Маълумот дар бораи қарздорони калон</t>
  </si>
  <si>
    <t>Қарзи қарздорон - Ҳамагӣ</t>
  </si>
  <si>
    <t>Гурӯҳ</t>
  </si>
  <si>
    <t>Санаи созишномаи қарзӣ ё тамдидкунӣ</t>
  </si>
  <si>
    <t>Намудҳои қарз</t>
  </si>
  <si>
    <t>Маблағ тибқи созишнома</t>
  </si>
  <si>
    <t>Маблағи дар асл дода шуда</t>
  </si>
  <si>
    <t>Бақияи тавозун</t>
  </si>
  <si>
    <t>Қоғазҳои қиматноки нигоҳдошта-шуда</t>
  </si>
  <si>
    <t>Миқдори тамдидкунии қарз</t>
  </si>
  <si>
    <t>Фоизи қарзӣ</t>
  </si>
  <si>
    <t>Шакли таъминнокӣ</t>
  </si>
  <si>
    <t>Санаи созишномаи қарзӣ ё тамдидӣ</t>
  </si>
  <si>
    <t>Намудҳои  қарз</t>
  </si>
  <si>
    <t>Маблағ тибқӣ
созишнома</t>
  </si>
  <si>
    <t>Фоизи қарз</t>
  </si>
  <si>
    <t>НОМГӮИ МЕЪЁРҲОИ МАҚБУЛ</t>
  </si>
  <si>
    <t>ҲИСОБКУНИИ МЕЪЁРИ МАҚБУЛ</t>
  </si>
  <si>
    <t>Меъёри  кифоятии сармоя</t>
  </si>
  <si>
    <t>Меъёри пардохтпазирӣ</t>
  </si>
  <si>
    <t>Андозаи ҳадди ниҳоии хавфҳо барои як қарзгир
ё гурӯҳи қарзгирон</t>
  </si>
  <si>
    <t>Андозаи ҳадди ниҳоии хавфҳои калони қарзӣ</t>
  </si>
  <si>
    <t>Андозаи ниҳоии хавф ба як шахси вобастаи ташкилоти қарзӣ</t>
  </si>
  <si>
    <t>Андозаи ниҳоии хавф ба шахсони вобастаи ташкилоти қарзӣ</t>
  </si>
  <si>
    <t>Меъёри истифодаи маблағҳои худии бонк барои
харидани саҳмияҳои дигар шахсони ҳуқуқӣ</t>
  </si>
  <si>
    <t>Нишондиҳандаи ҳақиқии меъёри мақбул</t>
  </si>
  <si>
    <t>Талаботи  меъёри мақбул</t>
  </si>
  <si>
    <t>Мавқеи умумии кушодаи дарози асъорӣ</t>
  </si>
  <si>
    <t>Мавқеи умумии кушодаи кӯтоҳи асъорӣ</t>
  </si>
  <si>
    <t>15.04.035</t>
  </si>
  <si>
    <t>15.04.040</t>
  </si>
  <si>
    <t>15.04.045</t>
  </si>
  <si>
    <t>15.04.050</t>
  </si>
  <si>
    <t>15.04.055</t>
  </si>
  <si>
    <t>15.04.065</t>
  </si>
  <si>
    <t>15.04.070</t>
  </si>
  <si>
    <t xml:space="preserve">           ному насаб</t>
  </si>
  <si>
    <t xml:space="preserve">     имзо</t>
  </si>
  <si>
    <t>имзо</t>
  </si>
  <si>
    <t xml:space="preserve"> ному насаб</t>
  </si>
  <si>
    <t>15.04.075</t>
  </si>
  <si>
    <t>15.04.080</t>
  </si>
  <si>
    <t>15.04.085</t>
  </si>
  <si>
    <t>15.04.090</t>
  </si>
  <si>
    <t>15.04.095</t>
  </si>
  <si>
    <t>15.04.100</t>
  </si>
  <si>
    <t>15.04.105</t>
  </si>
  <si>
    <t>15.04.110</t>
  </si>
  <si>
    <t>15.04.115</t>
  </si>
  <si>
    <t>15.04.120</t>
  </si>
  <si>
    <t>15.04.125</t>
  </si>
  <si>
    <t>15.04.130</t>
  </si>
  <si>
    <t>15.04.135</t>
  </si>
  <si>
    <t>15.05.000</t>
  </si>
  <si>
    <t>15.05.005</t>
  </si>
  <si>
    <t>15.05.010</t>
  </si>
  <si>
    <t>Захираҳо барои сатри (01.05.035, 01.05.045 ва 01.05.050)</t>
  </si>
  <si>
    <t>ҶАДВАЛИ 12.01. ТАҲЛИЛИ МЕЪЁРИ ФОИЗӢ БАЙНИ ДОРОИҲО ВА УҲДАДОРИҲО</t>
  </si>
  <si>
    <t>ҶАДВАЛИ 12.02. ТАҲЛИЛИ МЕЪЁРИ ФОИЗӢ БАЙНИ ДОРОИҲО ВА УҲДАДОРИҲО</t>
  </si>
  <si>
    <t>ҶАДВАЛИ 09.01. ҚАРЗҲОИ ШАХСОНИ БА ТАШКИЛОТИ ҚАРЗӢ ВОБАСТА</t>
  </si>
  <si>
    <t>Замимаи №2 ба Тартиби таҳия ва пешниҳоди
ҳисоботҳои молиявии ташкилотҳои қарзӣ</t>
  </si>
  <si>
    <t>Замимаи №3 ба Тартиби таҳия ва пешниҳоди
ҳисоботҳои молиявии ташкилотҳои қарзӣ</t>
  </si>
  <si>
    <t>Замимаи №4 ба Тартиби таҳия ва пешниҳоди
ҳисоботҳои молиявии ташкилотҳои қарзӣ</t>
  </si>
  <si>
    <t>Замимаи №5 ба Тартиби таҳия ва пешниҳоди
ҳисоботҳои молиявии ташкилотҳои қарзӣ</t>
  </si>
  <si>
    <t>Замимаи №6 ба Тартиби таҳия ва пешниҳоди
ҳисоботҳои молиявии ташкилотҳои қарзӣ</t>
  </si>
  <si>
    <t>Замимаи №7 ба Тартиби таҳия ва пешниҳоди
ҳисоботҳои молиявии ташкилотҳои қарзӣ</t>
  </si>
  <si>
    <t>Замимаи №8 ба Тартиби таҳия ва пешниҳоди
ҳисоботҳои молиявии ташкилотҳои қарзӣ</t>
  </si>
  <si>
    <t>Замимаи №9 ба Тартиби таҳия ва пешниҳоди
ҳисоботҳои молиявии ташкилотҳои қарзӣ</t>
  </si>
  <si>
    <t>Замимаи №10 ба Тартиби таҳия ва пешниҳоди
ҳисоботҳои молиявии ташкилотҳои қарзӣ</t>
  </si>
  <si>
    <t>Замимаи №11 ба Тартиби таҳия ва пешниҳоди
ҳисоботҳои молиявии ташкилотҳои қарзӣ</t>
  </si>
  <si>
    <t>Замимаи №12 ба Тартиби таҳия ва пешниҳоди
ҳисоботҳои молиявии ташкилотҳои қарзӣ</t>
  </si>
  <si>
    <t>Замимаи №13 ба Тартиби таҳия ва пешниҳоди
ҳисоботҳои молиявии ташкилотҳои қарзӣ</t>
  </si>
  <si>
    <t>Замимаи №14 ба Тартиби таҳия ва пешниҳоди
ҳисоботҳои молиявии ташкилотҳои қарзӣ</t>
  </si>
  <si>
    <t>Замимаи №15 ба Тартиби таҳия ва пешниҳоди
ҳисоботҳои молиявии ташкилотҳои қарзӣ</t>
  </si>
  <si>
    <t>Замимаи №16 ба Тартиби таҳия ва пешниҳоди
ҳисоботҳои молиявии ташкилотҳои қарзӣ</t>
  </si>
  <si>
    <t>Замимаи №17 ба Тартиби таҳия ва пешниҳоди
ҳисоботҳои молиявии ташкилотҳои қарзӣ</t>
  </si>
  <si>
    <t>Замимаи №18 ба Тартиби таҳия ва пешниҳоди
ҳисоботҳои молиявии ташкилотҳои қарзӣ</t>
  </si>
  <si>
    <t>Замимаи №19 ба Тартиби таҳия ва пешниҳоди
ҳисоботҳои молиявии ташкилотҳои қарзӣ</t>
  </si>
  <si>
    <t>Замимаи №20 ба Тартиби таҳия ва пешниҳоди
ҳисоботҳои молиявии ташкилотҳои қарзӣ</t>
  </si>
  <si>
    <t>Замимаи №21 ба Тартиби таҳия ва пешниҳоди
ҳисоботҳои молиявии ташкилотҳои қарзӣ</t>
  </si>
  <si>
    <t>Замимаи №22 ба Тартиби таҳия ва пешниҳоди
ҳисоботҳои молиявии ташкилотҳои қарзӣ</t>
  </si>
  <si>
    <t>Замимаи №23 ба Тартиби таҳия ва пешниҳоди
ҳисоботҳои молиявии ташкилотҳои қарзӣ</t>
  </si>
  <si>
    <t>Замимаи №24 ба Тартиби таҳия ва пешниҳоди
ҳисоботҳои молиявии ташкилотҳои қарзӣ</t>
  </si>
  <si>
    <t>Замимаи №25 ба Тартиби таҳия ва пешниҳоди
ҳисоботҳои молиявии ташкилотҳои қарзӣ</t>
  </si>
  <si>
    <t>Замимаи №26 ба Тартиби таҳия ва пешниҳоди
ҳисоботҳои молиявии ташкилотҳои қарзӣ</t>
  </si>
  <si>
    <t>Замимаи №27 ба Тартиби таҳия ва пешниҳоди
ҳисоботҳои молиявии ташкилотҳои қарзӣ</t>
  </si>
  <si>
    <t>Замимаи №28 ба Тартиби таҳия ва пешниҳоди
ҳисоботҳои молиявии ташкилотҳои қарзӣ</t>
  </si>
  <si>
    <t>Замимаи №29 ба Тартиби таҳия ва пешниҳоди
ҳисоботҳои молиявии ташкилотҳои қарзӣ</t>
  </si>
  <si>
    <t>Замимаи №30 ба Тартиби таҳия ва пешниҳоди
ҳисоботҳои молиявии ташкилотҳои қарзӣ</t>
  </si>
  <si>
    <t>Замимаи №31 ба Тартиби таҳия ва пешниҳоди
ҳисоботҳои молиявии ташкилотҳои қарзӣ</t>
  </si>
  <si>
    <t>Замимаи №32 ба Тартиби таҳия ва пешниҳоди
ҳисоботҳои молиявии ташкилотҳои қарзӣ</t>
  </si>
  <si>
    <t>Замимаи №33 ба Тартиби таҳия ва пешниҳоди
ҳисоботҳои молиявии ташкилотҳои қарзӣ</t>
  </si>
  <si>
    <t>Замимаи №34 ба Тартиби таҳия ва пешниҳоди
ҳисоботҳои молиявии ташкилотҳои қарзӣ</t>
  </si>
  <si>
    <t>МАЪЛУМОТ ДАР БОРАИ ШӮРОИ НОЗИРОН ВА РАЁСАТИ ТАШКИЛОТҲОИ ҚАРЗӢ</t>
  </si>
  <si>
    <t>МАЪЛУМОТ ДАР БОРАИ РОҲБАРОНИ ДАХЛДОРИ СОХТОРҲОИ ТАШКИЛОТҲОИ ҚАРЗӢ</t>
  </si>
  <si>
    <t>ВАРАҚАИ УНВОН</t>
  </si>
  <si>
    <t>МАЪЛУМОТИ УМУМӢ ОИД БА ТАШКИЛОТИ ҚАРЗӢ</t>
  </si>
  <si>
    <t>17.01.084</t>
  </si>
  <si>
    <t>Гардиши амалиётҳо бо асъори хориҷӣ</t>
  </si>
  <si>
    <t>Меъёри фоизи миёнавазни амонатҳо – ҳамагӣ</t>
  </si>
  <si>
    <t>Меъёри фоизи миёнавазни қарзҳо – ҳамагӣ</t>
  </si>
  <si>
    <t>Меъёри фоизи қарзҳо (min. - max.)– ҳамагӣ</t>
  </si>
  <si>
    <t>Меъёри фоизи амонатҳо (min. - max.) – ҳамагӣ</t>
  </si>
  <si>
    <t>17.01.085</t>
  </si>
  <si>
    <t>17.01.086</t>
  </si>
  <si>
    <t>17.01.031</t>
  </si>
  <si>
    <t>17.01.032</t>
  </si>
  <si>
    <t>17.01.033</t>
  </si>
  <si>
    <t>17.01.034</t>
  </si>
  <si>
    <t>17.01.042</t>
  </si>
  <si>
    <t>17.01.043</t>
  </si>
  <si>
    <t>17.01.044</t>
  </si>
  <si>
    <t>17.01.046</t>
  </si>
  <si>
    <t>17.01.052</t>
  </si>
  <si>
    <t>17.01.053</t>
  </si>
  <si>
    <t>17.01.054</t>
  </si>
  <si>
    <t>17.01.057</t>
  </si>
  <si>
    <t>17.01.073</t>
  </si>
  <si>
    <t>17.01.074</t>
  </si>
  <si>
    <t>17.01.075</t>
  </si>
  <si>
    <t>17.01.076</t>
  </si>
  <si>
    <t>Гардиши қоғазҳои қиматнок ва сармоягузорӣ</t>
  </si>
  <si>
    <t>Қарзҳои додашуда</t>
  </si>
  <si>
    <t>Шӯбҳанок</t>
  </si>
  <si>
    <t>Хати қарзҳои қабулшудаи истифоданашуда аз дигар ташкилотҳо</t>
  </si>
  <si>
    <t>Меъёри фоизи қарзҳо (min. - max.) – ҳамагӣ</t>
  </si>
  <si>
    <t>17.01.087</t>
  </si>
  <si>
    <t>17.01.092</t>
  </si>
  <si>
    <t>17.01.093</t>
  </si>
  <si>
    <t>17.01.094</t>
  </si>
  <si>
    <t>17.01.095</t>
  </si>
  <si>
    <t>17.01.100</t>
  </si>
  <si>
    <t>17.01.101</t>
  </si>
  <si>
    <t>17.01.102</t>
  </si>
  <si>
    <t>17.01.103</t>
  </si>
  <si>
    <t>17.01.108</t>
  </si>
  <si>
    <t>17.01.109</t>
  </si>
  <si>
    <t>17.01.110</t>
  </si>
  <si>
    <t>17.01.111</t>
  </si>
  <si>
    <t>Меъёри фоизи амонатҳо бо пули миллӣ</t>
  </si>
  <si>
    <t>Меъёри фоизи амонатҳо бо асъори хориҷӣ</t>
  </si>
  <si>
    <t>Меъёри фоизи қарзҳо бо пули миллӣ</t>
  </si>
  <si>
    <t>Меъёри фоизи қарзҳо бо асъори хориҷӣ</t>
  </si>
  <si>
    <t>Хароҷотҳо барои омӯзиши кормандон</t>
  </si>
  <si>
    <t>Миқдори банкоматҳо</t>
  </si>
  <si>
    <t>17.01.022</t>
  </si>
  <si>
    <t>аз ҷумла:                   қарзҳо</t>
  </si>
  <si>
    <t>аз ҷумла:                   дархостшаванда</t>
  </si>
  <si>
    <t>Миқдори кортҳои бонкӣ</t>
  </si>
  <si>
    <t>аз ҷумла бе кушодани суратҳисобҳои бонкӣ</t>
  </si>
  <si>
    <t>Нишондиҳандаҳо</t>
  </si>
  <si>
    <t>17.01.024</t>
  </si>
  <si>
    <t>Маблағҳои интиқолӣ дар давоми сол</t>
  </si>
  <si>
    <t>Интиқол ба Ҷумҳурии Тоҷикистон</t>
  </si>
  <si>
    <t xml:space="preserve">Интиқол аз Ҷумҳурии Тоҷикистон </t>
  </si>
  <si>
    <t>Воҳидҳои сайёр</t>
  </si>
  <si>
    <t>Нуқтаҳои хизматрасонии хазинавӣ</t>
  </si>
  <si>
    <t>Бақияи 1 амонати калонтарин</t>
  </si>
  <si>
    <t>Амонатҳои шахсони алоқаманд (вобаcта)</t>
  </si>
  <si>
    <t>Амонатҳои калонтарин</t>
  </si>
  <si>
    <t>Бақияи ҳамаи амонатҳои шахсони алоқаманд (вобаcта)</t>
  </si>
  <si>
    <t>Бақияи 1 амонати калонтарини шахси алоқаманд (вобаcта)</t>
  </si>
  <si>
    <t>Шумораи кормандони тахассусманд</t>
  </si>
  <si>
    <t>Шумораи кормандоне, ки дар семинарҳо ширкат варзиданд (дар давоми сол)</t>
  </si>
  <si>
    <t>Шумораи кормандон</t>
  </si>
  <si>
    <t>Қарзҳои пардохтшуда</t>
  </si>
  <si>
    <t>Амонатҳои ҷалбшуда ва пардохтшуда дар давоми сол</t>
  </si>
  <si>
    <t>Қарзҳои додашуда ва пардохтшуда дар давоми сол</t>
  </si>
  <si>
    <t>Қарзҳо - ҳамагӣ</t>
  </si>
  <si>
    <t>Филиалҳо</t>
  </si>
  <si>
    <t>Шумораи ҳисобҳои амонатӣ</t>
  </si>
  <si>
    <t>Шумораи ҳисобҳои қарзӣ</t>
  </si>
  <si>
    <t>Шумораи ҳисобҳо</t>
  </si>
  <si>
    <t>Шумораи ҳисобҳои қарзҳои хурд</t>
  </si>
  <si>
    <t>Қарзҳои бо асъори ҳориҷӣ додашуда ба мизоҷони хеджнашуда</t>
  </si>
  <si>
    <t>Шумораи ҳисобҳои амонатҳои муҳлатнок</t>
  </si>
  <si>
    <t>08.01.070</t>
  </si>
  <si>
    <t>09.01.075</t>
  </si>
  <si>
    <t>17.01.016</t>
  </si>
  <si>
    <t>17.01.017</t>
  </si>
  <si>
    <t>17.01.023</t>
  </si>
  <si>
    <t>17.01.021</t>
  </si>
  <si>
    <t>17.01.018</t>
  </si>
  <si>
    <t>17.01.120</t>
  </si>
  <si>
    <t>17.01.125</t>
  </si>
  <si>
    <t>17.01.130</t>
  </si>
  <si>
    <t>17.01.135</t>
  </si>
  <si>
    <t>17.01.140</t>
  </si>
  <si>
    <t>17.01.150</t>
  </si>
  <si>
    <t>17.01.155</t>
  </si>
  <si>
    <t>17.01.160</t>
  </si>
  <si>
    <t>17.01.165</t>
  </si>
  <si>
    <t>17.01.170</t>
  </si>
  <si>
    <t>17.01.175</t>
  </si>
  <si>
    <t>17.01.180</t>
  </si>
  <si>
    <t>17.01.185</t>
  </si>
  <si>
    <t>17.01.190</t>
  </si>
  <si>
    <t>17.01.195</t>
  </si>
  <si>
    <t>17.01.200</t>
  </si>
  <si>
    <t>17.01.205</t>
  </si>
  <si>
    <t>17.01.210</t>
  </si>
  <si>
    <t>аз ҷумла ФПТИ ташкилшуда</t>
  </si>
  <si>
    <t>17.01.215</t>
  </si>
  <si>
    <t>17.01.220</t>
  </si>
  <si>
    <t>17.01.230</t>
  </si>
  <si>
    <t>17.01.235</t>
  </si>
  <si>
    <t>17.01.240</t>
  </si>
  <si>
    <t>17.01.245</t>
  </si>
  <si>
    <t>17.01.250</t>
  </si>
  <si>
    <t>17.01.255</t>
  </si>
  <si>
    <t>17.01.260</t>
  </si>
  <si>
    <t>17.01.265</t>
  </si>
  <si>
    <t>17.01.270</t>
  </si>
  <si>
    <t>17.01.275</t>
  </si>
  <si>
    <t>17.01.280</t>
  </si>
  <si>
    <t>17.01.285</t>
  </si>
  <si>
    <t>17.01.290</t>
  </si>
  <si>
    <t>17.01.295</t>
  </si>
  <si>
    <t>17.01.300</t>
  </si>
  <si>
    <t>17.01.305</t>
  </si>
  <si>
    <t>17.01.310</t>
  </si>
  <si>
    <t>17.01.315</t>
  </si>
  <si>
    <t>17.01.320</t>
  </si>
  <si>
    <t>17.01.325</t>
  </si>
  <si>
    <t>17.01.330</t>
  </si>
  <si>
    <t>17.01.335</t>
  </si>
  <si>
    <t>17.01.340</t>
  </si>
  <si>
    <t>17.01.345</t>
  </si>
  <si>
    <t>17.01.350</t>
  </si>
  <si>
    <t>17.01.355</t>
  </si>
  <si>
    <t>17.01.360</t>
  </si>
  <si>
    <t>17.01.365</t>
  </si>
  <si>
    <t>17.01.370</t>
  </si>
  <si>
    <t>17.01.375</t>
  </si>
  <si>
    <t>17.01.380</t>
  </si>
  <si>
    <t>17.01.385</t>
  </si>
  <si>
    <t>17.01.390</t>
  </si>
  <si>
    <t>17.01.400</t>
  </si>
  <si>
    <t>17.01.405</t>
  </si>
  <si>
    <t>17.01.410</t>
  </si>
  <si>
    <t>17.01.415</t>
  </si>
  <si>
    <t>17.01.420</t>
  </si>
  <si>
    <t>17.01.425</t>
  </si>
  <si>
    <t>17.01.430</t>
  </si>
  <si>
    <t>17.01.435</t>
  </si>
  <si>
    <t>17.01.440</t>
  </si>
  <si>
    <t>17.01.445</t>
  </si>
  <si>
    <t>17.01.450</t>
  </si>
  <si>
    <t>17.01.455</t>
  </si>
  <si>
    <t>17.01.014</t>
  </si>
  <si>
    <t>Миқдори терминалҳои худкори хизматрасон</t>
  </si>
  <si>
    <t>17.01.019</t>
  </si>
  <si>
    <t>ФПТИ ташкил-шуда</t>
  </si>
  <si>
    <t>21.01.070</t>
  </si>
  <si>
    <t>Гаравҳои мондашуда - ҳамагӣ</t>
  </si>
  <si>
    <t>Фонди пӯшонидани талафотҳои имконпазир аз рӯи гаравҳо</t>
  </si>
  <si>
    <t>01.01.266</t>
  </si>
  <si>
    <t>01.01.306</t>
  </si>
  <si>
    <t>01.02.141</t>
  </si>
  <si>
    <t>Ҳисобҳои ҷорӣ/мукотибавӣ</t>
  </si>
  <si>
    <t>Амалиётҳои асъори хориҷӣ (СПОТ)</t>
  </si>
  <si>
    <t>Азнавбаҳодиҳии амалиёти форвардӣ ва СВОП</t>
  </si>
  <si>
    <t>15.04.142</t>
  </si>
  <si>
    <t>15.04.143</t>
  </si>
  <si>
    <t>15.04.144</t>
  </si>
  <si>
    <t>Ҳисоботи ташкилоти қарзӣ:</t>
  </si>
  <si>
    <t xml:space="preserve">    ё Кумитаи аудиторӣ</t>
  </si>
  <si>
    <t>Миқдори POS терминалҳо (берун аз ташкилотҳои қарзӣ)</t>
  </si>
  <si>
    <t>17.01.121</t>
  </si>
  <si>
    <t>Қарзҳои хурди додашуда</t>
  </si>
  <si>
    <t>17.01.126</t>
  </si>
  <si>
    <t>17.01.131</t>
  </si>
  <si>
    <t>Қарзҳои хурди пардохтшуда</t>
  </si>
  <si>
    <t>17.01.136</t>
  </si>
  <si>
    <t>Дархостшаванда - ҷалбшуда</t>
  </si>
  <si>
    <t>17.01.141</t>
  </si>
  <si>
    <t>17.01.143</t>
  </si>
  <si>
    <t>Дархостшаванда - пардохтшуда</t>
  </si>
  <si>
    <t>17.01.144</t>
  </si>
  <si>
    <t>17.01.146</t>
  </si>
  <si>
    <t>Пасандозӣ - ҷалбшуда</t>
  </si>
  <si>
    <t>17.01.147</t>
  </si>
  <si>
    <t>17.01.149</t>
  </si>
  <si>
    <t>Пасандозӣ - пардохтшуда</t>
  </si>
  <si>
    <t>17.01.152</t>
  </si>
  <si>
    <t>Муҳлатнок - ҷалбшуда</t>
  </si>
  <si>
    <t>17.01.153</t>
  </si>
  <si>
    <t>Муҳлатнок - пардохтшуда</t>
  </si>
  <si>
    <t>Гаравҳои гирифташуда барои бозфурӯш зиёда аз 6 моҳ (брутто)</t>
  </si>
  <si>
    <t>Бақияи 50 амонатҳои калонтарин</t>
  </si>
  <si>
    <t>Бақияи 10 амонатҳои калонтарин</t>
  </si>
  <si>
    <t>Бақияи 3 амонатҳои калонтарин</t>
  </si>
  <si>
    <t xml:space="preserve">Бақияи 50 амонатҳои калонтарини шахсони алоқаманд (вобаcта) </t>
  </si>
  <si>
    <t>Бақияи 10 амонатҳои калонтарини шахсони алоқаманд (вобаcта)</t>
  </si>
  <si>
    <t>Бақияи 3 амонатҳои калонтарини шахсони алоқаманд (вобаcта)</t>
  </si>
  <si>
    <t>Гаравҳои мондашуда аз рӯи қарзҳо (ғайритавозунӣ)</t>
  </si>
  <si>
    <t>Ҳисобот дар санаи</t>
  </si>
  <si>
    <t>Ҳа / Не</t>
  </si>
  <si>
    <t>Зери назорат</t>
  </si>
  <si>
    <t>Арзиши таъминокӣ</t>
  </si>
  <si>
    <t>Қарзҳо ва иҷораи молиявӣ</t>
  </si>
  <si>
    <t>AC22.01</t>
  </si>
  <si>
    <t>22.01.000</t>
  </si>
  <si>
    <t>22.01.005</t>
  </si>
  <si>
    <t>22.01.010</t>
  </si>
  <si>
    <t>22.01.015</t>
  </si>
  <si>
    <t>22.01.020</t>
  </si>
  <si>
    <t>22.01.025</t>
  </si>
  <si>
    <t>22.01.030</t>
  </si>
  <si>
    <t>22.01.035</t>
  </si>
  <si>
    <t>22.01.040</t>
  </si>
  <si>
    <t>22.01.045</t>
  </si>
  <si>
    <t>22.01.050</t>
  </si>
  <si>
    <t>22.01.055</t>
  </si>
  <si>
    <t>22.01.060</t>
  </si>
  <si>
    <t>22.01.065</t>
  </si>
  <si>
    <t>22.01.070</t>
  </si>
  <si>
    <t>22.01.075</t>
  </si>
  <si>
    <t>22.01.080</t>
  </si>
  <si>
    <t>22.01.085</t>
  </si>
  <si>
    <t>22.01.090</t>
  </si>
  <si>
    <t>22.01.095</t>
  </si>
  <si>
    <t>22.01.100</t>
  </si>
  <si>
    <t>22.01.105</t>
  </si>
  <si>
    <t>22.01.110</t>
  </si>
  <si>
    <t>22.01.115</t>
  </si>
  <si>
    <t>22.01.120</t>
  </si>
  <si>
    <t>22.01.125</t>
  </si>
  <si>
    <t>22.01.130</t>
  </si>
  <si>
    <t>22.01.135</t>
  </si>
  <si>
    <t>22.01.140</t>
  </si>
  <si>
    <t>22.01.145</t>
  </si>
  <si>
    <t>22.01.200</t>
  </si>
  <si>
    <t>Бақия дар аввали давра</t>
  </si>
  <si>
    <t>Камшавӣ:</t>
  </si>
  <si>
    <t>Зиёдшавӣ:</t>
  </si>
  <si>
    <t>Бақия дар охири давра</t>
  </si>
  <si>
    <t>AC22.02</t>
  </si>
  <si>
    <t>23.01.000</t>
  </si>
  <si>
    <t>23.01.005</t>
  </si>
  <si>
    <t>23.01.010</t>
  </si>
  <si>
    <t>23.01.015</t>
  </si>
  <si>
    <t>23.01.020</t>
  </si>
  <si>
    <t>23.01.025</t>
  </si>
  <si>
    <t>23.01.030</t>
  </si>
  <si>
    <t>23.01.035</t>
  </si>
  <si>
    <t>23.01.040</t>
  </si>
  <si>
    <t>23.01.045</t>
  </si>
  <si>
    <t>23.01.050</t>
  </si>
  <si>
    <t>23.01.055</t>
  </si>
  <si>
    <t>23.01.060</t>
  </si>
  <si>
    <t>23.01.065</t>
  </si>
  <si>
    <t>23.01.070</t>
  </si>
  <si>
    <t>ҲАРАКАТИ ҚАРЗҲОИ ҒАЙРИФАЪОЛ</t>
  </si>
  <si>
    <t>Хориҷшуда</t>
  </si>
  <si>
    <t>ҲАРАКАТИ ФОНДИ МАХСУС (ФПТИ АЗ РӮИ ҚАРЗҲОИ
ҒАЙРИФАЪОЛ)</t>
  </si>
  <si>
    <t>Камшавии арзиши таъминот</t>
  </si>
  <si>
    <t>WO23.02</t>
  </si>
  <si>
    <t>23.01.075</t>
  </si>
  <si>
    <t>23.01.080</t>
  </si>
  <si>
    <t>23.01.085</t>
  </si>
  <si>
    <t>23.01.090</t>
  </si>
  <si>
    <t>23.01.095</t>
  </si>
  <si>
    <t>23.01.100</t>
  </si>
  <si>
    <t>23.01.105</t>
  </si>
  <si>
    <t>23.01.110</t>
  </si>
  <si>
    <t>23.01.115</t>
  </si>
  <si>
    <t>Номи қарзгир</t>
  </si>
  <si>
    <t>Санаи додани қарз</t>
  </si>
  <si>
    <t>ФПТИ</t>
  </si>
  <si>
    <t>ЭЗОҲ: Арзиши воқеии таъминокии гарав (cутуни "L") ба ҳар як қарзгир бояд тибқи талаботи Дастурамали № 177 нишондода шуда, набояд аз бақия қарзи ҳар як қарзгир зиёд бошад.</t>
  </si>
  <si>
    <t>ҶАДВАЛИ 24.01. 100 ҚАРЗҲОИ КАЛОНТАРИНИ ҒАЙРИФАЪОЛ</t>
  </si>
  <si>
    <t>KI24.01</t>
  </si>
  <si>
    <t>KI24.02</t>
  </si>
  <si>
    <t>KI24.03</t>
  </si>
  <si>
    <t>ҲАМАГӢ (арзиши тавозунӣ)</t>
  </si>
  <si>
    <t>Коғазҳои қиматноки аз тарафи Ҳукумати Ҷумҳурии Тоҷикистон баровардашуда</t>
  </si>
  <si>
    <t>Коғазҳои қиматноки аз тарафи Бонки миллии Тоҷикистон баровардашуда</t>
  </si>
  <si>
    <t>Дигар қоғаҳои қиматноки ташкилотҳои ғайридавлатӣ</t>
  </si>
  <si>
    <t>Гаравҳои фурухташуда</t>
  </si>
  <si>
    <t>Гаравҳои пурра хориҷшуда</t>
  </si>
  <si>
    <t>PB25.01</t>
  </si>
  <si>
    <t>ҶАДВАЛИ 25.01. ГАРАВҲОИ БА ТАВОЗУН ГИРИФТАШУДА</t>
  </si>
  <si>
    <t>ҲАРАКАТИ ГАРАВҲОИ БА ТАВОЗУН ГИРИФТАШУДА</t>
  </si>
  <si>
    <t>25.01.000</t>
  </si>
  <si>
    <t>25.01.005</t>
  </si>
  <si>
    <t>25.01.010</t>
  </si>
  <si>
    <t>25.01.015</t>
  </si>
  <si>
    <t>25.01.020</t>
  </si>
  <si>
    <t>25.01.025</t>
  </si>
  <si>
    <t>25.01.030</t>
  </si>
  <si>
    <t>25.01.035</t>
  </si>
  <si>
    <t>25.01.040</t>
  </si>
  <si>
    <t>25.01.045</t>
  </si>
  <si>
    <t>25.01.050</t>
  </si>
  <si>
    <t>25.01.055</t>
  </si>
  <si>
    <t>25.01.060</t>
  </si>
  <si>
    <t>25.01.065</t>
  </si>
  <si>
    <t>25.01.070</t>
  </si>
  <si>
    <t>25.01.075</t>
  </si>
  <si>
    <t>25.01.085</t>
  </si>
  <si>
    <t>25.01.090</t>
  </si>
  <si>
    <t>25.01.095</t>
  </si>
  <si>
    <t>25.01.100</t>
  </si>
  <si>
    <t>25.01.105</t>
  </si>
  <si>
    <t>25.01.110</t>
  </si>
  <si>
    <t>25.01.115</t>
  </si>
  <si>
    <t>25.01.120</t>
  </si>
  <si>
    <t>25.01.125</t>
  </si>
  <si>
    <t>25.01.130</t>
  </si>
  <si>
    <t>аз 180 рӯз
ва зиёд</t>
  </si>
  <si>
    <t>аз 8 то
30 рӯз</t>
  </si>
  <si>
    <t>Гурӯҳи 5</t>
  </si>
  <si>
    <t>Фонди
умумӣ</t>
  </si>
  <si>
    <t>Фонди
махсус</t>
  </si>
  <si>
    <t>то 8 рӯз</t>
  </si>
  <si>
    <t>аз 30 то
90 рӯз</t>
  </si>
  <si>
    <t>аз 90 то
180 рӯз</t>
  </si>
  <si>
    <t>Дороиҳои
таҷдидшуда
(аз сутуни 3)</t>
  </si>
  <si>
    <t>Ҳамагӣ ба таъхирафтода</t>
  </si>
  <si>
    <t>Воситаҳои асосӣ ба ғайр аз дороиҳои ғайримоддӣ (сатри 01.01.275)</t>
  </si>
  <si>
    <t>Дигар дороиҳо ба ғайр аз амалиётҳои байнишуъбавӣ (сатри 01.01.300)</t>
  </si>
  <si>
    <t>Дигар уҳдадориҳо</t>
  </si>
  <si>
    <t>Амалиётҳои (форвардӣ ва своп)</t>
  </si>
  <si>
    <t>Фондҳои ташкилшуда Ҳамагӣ</t>
  </si>
  <si>
    <t>Захираҳо ва фондҳои умумӣ (то 1,25%-и дороиҳои бо назардошти хавф баркашидашуда)</t>
  </si>
  <si>
    <t>Андоз аз фоида барои пардохт</t>
  </si>
  <si>
    <t>Даромади гирифташудаи коркарданашуда</t>
  </si>
  <si>
    <t>Ҳисобҳои дебитии то маълумкунӣ</t>
  </si>
  <si>
    <t>Захираҳо барои сатри 01.05.020</t>
  </si>
  <si>
    <t>Хароҷоти пешакӣ пардохташуда</t>
  </si>
  <si>
    <t>Шарҳи дигар дороиҳо ва уҳдадориҳо</t>
  </si>
  <si>
    <t>Захираи аз нав баҳодиҳии воситаҳои асосӣ</t>
  </si>
  <si>
    <t>5. Муовини (аввали) Раиси Раёсат</t>
  </si>
  <si>
    <t>6. Муовини Раиси Раёсат</t>
  </si>
  <si>
    <t>7. Муовини Раиси Раёсат</t>
  </si>
  <si>
    <t>8. Муовини Раиси Раёсат</t>
  </si>
  <si>
    <t>24.01.000</t>
  </si>
  <si>
    <t>24.01.005</t>
  </si>
  <si>
    <t>24.01.010</t>
  </si>
  <si>
    <t>24.01.015</t>
  </si>
  <si>
    <t>24.01.020</t>
  </si>
  <si>
    <t>24.01.025</t>
  </si>
  <si>
    <t>24.01.030</t>
  </si>
  <si>
    <t>24.01.035</t>
  </si>
  <si>
    <t>24.01.040</t>
  </si>
  <si>
    <t>24.01.045</t>
  </si>
  <si>
    <t>24.01.050</t>
  </si>
  <si>
    <t>24.01.055</t>
  </si>
  <si>
    <t>24.01.060</t>
  </si>
  <si>
    <t>Бахши иқтисодиёт</t>
  </si>
  <si>
    <t>Гуруҳи таснифот</t>
  </si>
  <si>
    <t>Рамзи асъор</t>
  </si>
  <si>
    <t>Бақияи қарз (бо сомонӣ)</t>
  </si>
  <si>
    <t>Арзиши таъминок</t>
  </si>
  <si>
    <t>Санаи гузашти қарзи</t>
  </si>
  <si>
    <t>Санаи тасниф</t>
  </si>
  <si>
    <t>Намуди таъминок</t>
  </si>
  <si>
    <t>24.02.000</t>
  </si>
  <si>
    <t>24.02.005</t>
  </si>
  <si>
    <t>24.02.010</t>
  </si>
  <si>
    <t>24.02.015</t>
  </si>
  <si>
    <t>24.02.020</t>
  </si>
  <si>
    <t>24.02.025</t>
  </si>
  <si>
    <t>24.02.030</t>
  </si>
  <si>
    <t>24.02.035</t>
  </si>
  <si>
    <t>24.02.040</t>
  </si>
  <si>
    <t>24.02.045</t>
  </si>
  <si>
    <t>24.02.050</t>
  </si>
  <si>
    <t>24.02.055</t>
  </si>
  <si>
    <t>24.02.060</t>
  </si>
  <si>
    <t>24.03.000</t>
  </si>
  <si>
    <t>24.03.005</t>
  </si>
  <si>
    <t>24.03.010</t>
  </si>
  <si>
    <t>24.03.015</t>
  </si>
  <si>
    <t>24.03.020</t>
  </si>
  <si>
    <t>24.03.025</t>
  </si>
  <si>
    <t>24.03.030</t>
  </si>
  <si>
    <t>24.03.035</t>
  </si>
  <si>
    <t>24.03.040</t>
  </si>
  <si>
    <t>24.03.045</t>
  </si>
  <si>
    <t>15.05.067</t>
  </si>
  <si>
    <t>ФПТИ ташкилшуда</t>
  </si>
  <si>
    <t>Замимаи №35 ба Тартиби таҳия ва пешниҳоди
ҳисоботҳои молиявии ташкилотҳои қарзӣ</t>
  </si>
  <si>
    <t>Замимаи №36 ба Тартиби таҳия ва пешниҳоди
ҳисоботҳои молиявии ташкилотҳои қарзӣ</t>
  </si>
  <si>
    <t>Замимаи №38 ба Тартиби таҳия ва пешниҳоди
ҳисоботҳои молиявии ташкилотҳои қарзӣ</t>
  </si>
  <si>
    <t>Замимаи №39 ба Тартиби таҳия ва пешниҳоди
ҳисоботҳои молиявии ташкилотҳои қарзӣ</t>
  </si>
  <si>
    <t>Замимаи №40 ба Тартиби таҳия ва пешниҳоди
ҳисоботҳои молиявии ташкилотҳои қарзӣ</t>
  </si>
  <si>
    <t>Замимаи №41 ба Тартиби таҳия ва пешниҳоди
ҳисоботҳои молиявии ташкилотҳои қарзӣ</t>
  </si>
  <si>
    <t>Замимаи №42 ба Тартиби таҳия ва пешниҳоди
ҳисоботҳои молиявии ташкилотҳои қарзӣ</t>
  </si>
  <si>
    <t>Номгӯи ташкилоти қарзӣ</t>
  </si>
  <si>
    <t>Рӯзҳои батаъхир-афтода</t>
  </si>
  <si>
    <t>Қарзҳои барқарор-
шуда</t>
  </si>
  <si>
    <t>Фонди умумӣ аз рӯи дороиҳои фаъол</t>
  </si>
  <si>
    <t>01.03.090</t>
  </si>
  <si>
    <t>Захираи умумӣ барои дороиҳои фаъол</t>
  </si>
  <si>
    <t>Захираи махсус барои дороиҳои ғайрифаъол</t>
  </si>
  <si>
    <t>15.03.046</t>
  </si>
  <si>
    <t>15.03.121</t>
  </si>
  <si>
    <t>Қарзҳо ва иҷораи молиявӣ бо асъори хориҷӣ</t>
  </si>
  <si>
    <t>Дигар овердрафтҳо бо асъори хориҷӣ</t>
  </si>
  <si>
    <t>Дигар овердрафтҳо бо пули миллӣ</t>
  </si>
  <si>
    <t>Пардохташуда/барқароршуда</t>
  </si>
  <si>
    <t>100 қарзҳои калонтарини ғайрифаъол</t>
  </si>
  <si>
    <t>Гаравҳо ба тавозун гирифташуда</t>
  </si>
  <si>
    <t>50 қарзҳои калонтарини ғайрифаъоли шахсони алоқаманд</t>
  </si>
  <si>
    <t>Бақияи амонатҳои шахсони воқеӣ то 500 нишондиҳанда барои ҳисобҳо бо сомонӣ</t>
  </si>
  <si>
    <t>Бақияи амонатҳои шахсони воқеӣ то 350 нишондиҳанда барои ҳисобҳо бо асъори хориҷӣ</t>
  </si>
  <si>
    <t>Миқдори ҳисобҳои амонатҳои шахсони воқеӣ то 500 нишондиҳанда барои ҳисобҳо бо сомонӣ</t>
  </si>
  <si>
    <t>Миқдори ҳисобҳои амонатҳои шахсони воқеӣ то 350 нишондиҳанда барои ҳисобҳо бо асъори хориҷӣ</t>
  </si>
  <si>
    <t>Бақияи амонатҳои шахсони воқеӣ зиёда аз 500 нишондиҳанда барои ҳисобҳо бо сомонӣ</t>
  </si>
  <si>
    <t>Бақияи амонатҳои шахсони воқеӣ зиёда аз 350 нишондиҳанда барои ҳисобҳо бо асъори хориҷӣ</t>
  </si>
  <si>
    <t>Миқдори ҳисобҳои амонатҳои шахсони воқеӣ зиёда аз 500 нишондиҳанда барои ҳисобҳо бо сомонӣ</t>
  </si>
  <si>
    <t>Миқдори ҳисобҳои амонатҳои шахсони воқеӣ зиёда аз 350 нишондиҳанда барои ҳисобҳо бо асъори хориҷӣ</t>
  </si>
  <si>
    <t>03.01.060</t>
  </si>
  <si>
    <t>03.01.070</t>
  </si>
  <si>
    <t>17.01.154</t>
  </si>
  <si>
    <t xml:space="preserve">Бақияи ФПТИ - аз рӯи қарзҳо, иҷораи молиявӣ ва овердрафт дар аввали сол </t>
  </si>
  <si>
    <t>CL21.02</t>
  </si>
  <si>
    <t>21.02.000</t>
  </si>
  <si>
    <t>21.02.005</t>
  </si>
  <si>
    <t>21.02.010</t>
  </si>
  <si>
    <t>21.02.015</t>
  </si>
  <si>
    <t>21.02.020</t>
  </si>
  <si>
    <t>21.02.025</t>
  </si>
  <si>
    <t>21.02.030</t>
  </si>
  <si>
    <t>21.02.035</t>
  </si>
  <si>
    <t>21.02.040</t>
  </si>
  <si>
    <t>21.02.045</t>
  </si>
  <si>
    <t>21.02.050</t>
  </si>
  <si>
    <t>21.02.055</t>
  </si>
  <si>
    <t>21.02.060</t>
  </si>
  <si>
    <t>ООО "Челон"</t>
  </si>
  <si>
    <t>ҶАДВАЛИ 21.01. ҚАРЗҲО ВА ҶОЙГИРКУНИҲОИ ТАШКИЛОТҲОИ ҚАРЗИИ МОЛИЯВӢ</t>
  </si>
  <si>
    <t>Маълумот дар бораи қарзҳо ва ҷойгиркуниҳои ташкилотҳои қарзии молиявӣ</t>
  </si>
  <si>
    <t>ҶАДВАЛИ 22.01. ТАСНИФИ ДОРОИҲО АЗ РӮИ СОҲАҲО БО ПУЛИ МИЛЛӢ</t>
  </si>
  <si>
    <t>ҶАДВАЛИ 22.02. ТАСНИФИ ДОРОИҲО АЗ РӮИ СОҲАҲО БО АСЪОРИ ХОРИҶӢ</t>
  </si>
  <si>
    <t>ҶАДВАЛИ 24.02. 50 ҚАРЗҲОИ КАЛОНТАРИНИ ҒАЙРИФАЪОЛИ ШАХСОНИ АЛОҚАМАНД</t>
  </si>
  <si>
    <t>15.05.068</t>
  </si>
  <si>
    <t>24.03.050</t>
  </si>
  <si>
    <t>24.03.055</t>
  </si>
  <si>
    <t>24.03.060</t>
  </si>
  <si>
    <t>Номгӯ</t>
  </si>
  <si>
    <t>Намудҳои маблағҳои ҷалбшуда</t>
  </si>
  <si>
    <t>Санаи созишнома ё тамдидкунӣ</t>
  </si>
  <si>
    <t>Маблағи дар асл ҷалбшуда</t>
  </si>
  <si>
    <t>Миқдори тамдидкунии маблағҳои ҷалбшуда</t>
  </si>
  <si>
    <t>ҶАДВАЛИ 21.02. ҶОЙГИРКУНИҲОИ ҶАЛБШУДАИ ТАШКИЛОТҲОИ ҚАРЗИИ МОЛИЯВӢ</t>
  </si>
  <si>
    <t>Маълумот дар бораи ҷойгиркуниҳои ҷалбшудаи ташкилотҳои қарзии молиявӣ</t>
  </si>
  <si>
    <t>ҶАДВАЛИ 23.01. ҲАРАКАТИ ҚАРЗҲОИ ҒАЙРИФАЪОЛ ВА ФПТИ АЗ РӮИ ҚАРЗҲОИ ҒАЙРИФАЪОЛ</t>
  </si>
  <si>
    <t>01.03.095</t>
  </si>
  <si>
    <t>Замимаи №37 ба Тартиби таҳия ва пешниҳоди
ҳисоботҳои молиявии ташкилотҳои қарзӣ</t>
  </si>
  <si>
    <t>Дигар қарзҳо ва иҷораи молиявӣ</t>
  </si>
  <si>
    <t>"тарҳи" фарқи байни ФПТИ-и ҳисобкардашуда ва ҳақиқӣ,
агар аз 0 калон бошад</t>
  </si>
  <si>
    <t>"тарҳи" фарқи байни ФПТИ-и БМТ ва Аудити беруна</t>
  </si>
  <si>
    <t>Додани қарзҳои иловагӣ ба қарзгирони муаммодор</t>
  </si>
  <si>
    <t>50 қарзҳои калонтарини ғайрифаъоли нав (дар давоми як сол ғайрифаъолшуда)</t>
  </si>
  <si>
    <t xml:space="preserve">ҶАДВАЛИ 24.03. 50 ҚАРЗҲОИ КАЛОНТАРИНИ ҒАЙРИФАЪОЛИ НАВ </t>
  </si>
  <si>
    <t>Арзиши воқеӣ (аз арзиши тавозуни зиёд набошад)</t>
  </si>
  <si>
    <t>Гаравҳои ба тавозун гирифташуда аз рӯи муҳлати дар тавозун нигоҳ доштани онҳо</t>
  </si>
  <si>
    <t>то 6 моҳ</t>
  </si>
  <si>
    <t>аз 6 то 12 моҳ</t>
  </si>
  <si>
    <t>аз 12 то 24 моҳ</t>
  </si>
  <si>
    <t>аз 24 то 36 моҳ</t>
  </si>
  <si>
    <t>зиёда аз 60 моҳ</t>
  </si>
  <si>
    <t>аз 36 то 60 моҳ</t>
  </si>
  <si>
    <t>Гаравҳои ба тавозун гирифташуда аз рӯи намуд</t>
  </si>
  <si>
    <t>Хориҷкунии қисми арзиши воқеии гаравҳо</t>
  </si>
  <si>
    <t>Ба гурӯҳи қарзҳои фаъол гузаронидашуда</t>
  </si>
  <si>
    <t>Қарзи ғайрифаъол шудани қарзи фаъол</t>
  </si>
  <si>
    <t>Ба гуруҳи хавфи баландтар гузаронидани қарз</t>
  </si>
  <si>
    <t>Бинои истиқоматӣ</t>
  </si>
  <si>
    <t xml:space="preserve">Бинои ғайриистиқоматӣ </t>
  </si>
  <si>
    <t xml:space="preserve">Саҳмияҳои оддии шахсони ҳуқуқӣ </t>
  </si>
  <si>
    <t>Коғазҳои қиматноки шахсони ҳуқуқӣ</t>
  </si>
  <si>
    <t>Правилами сопоставления таблиц Пруденциального отчета (Call report crosschecking rules)</t>
  </si>
  <si>
    <t>Алгоритмы сравнения различных таблиц Пруденциального отчета. Если условия соблюдаются, алгоритм возвращяет сообщения в скобках</t>
  </si>
  <si>
    <t>Условия</t>
  </si>
  <si>
    <r>
      <t xml:space="preserve">Лист </t>
    </r>
    <r>
      <rPr>
        <sz val="12"/>
        <color rgb="FFFF0000"/>
        <rFont val="Palatino Linotype"/>
        <family val="1"/>
      </rPr>
      <t>("BA01.01")</t>
    </r>
    <r>
      <rPr>
        <sz val="12"/>
        <rFont val="Palatino Linotype"/>
        <family val="1"/>
        <charset val="204"/>
      </rPr>
      <t xml:space="preserve">, строка 14, столбец 4 &lt;&gt; Лист </t>
    </r>
    <r>
      <rPr>
        <sz val="12"/>
        <color rgb="FFFF0000"/>
        <rFont val="Palatino Linotype"/>
        <family val="1"/>
      </rPr>
      <t>("CA15.01")</t>
    </r>
    <r>
      <rPr>
        <sz val="12"/>
        <rFont val="Palatino Linotype"/>
        <family val="1"/>
        <charset val="204"/>
      </rPr>
      <t xml:space="preserve">, строка 16, столбец 4 + Лист </t>
    </r>
    <r>
      <rPr>
        <sz val="12"/>
        <color rgb="FFFF0000"/>
        <rFont val="Palatino Linotype"/>
        <family val="1"/>
      </rPr>
      <t>("CA15.01")</t>
    </r>
    <r>
      <rPr>
        <sz val="12"/>
        <rFont val="Palatino Linotype"/>
        <family val="1"/>
        <charset val="204"/>
      </rPr>
      <t xml:space="preserve">, строка 17, столбец 4 + Лист </t>
    </r>
    <r>
      <rPr>
        <sz val="12"/>
        <color rgb="FFFF0000"/>
        <rFont val="Palatino Linotype"/>
        <family val="1"/>
      </rPr>
      <t>("CA15.01")</t>
    </r>
    <r>
      <rPr>
        <sz val="12"/>
        <rFont val="Palatino Linotype"/>
        <family val="1"/>
        <charset val="204"/>
      </rPr>
      <t>, строка 18, столбец 4  ("Пожалуйста, проверьте строку: 01.01.035s ")</t>
    </r>
  </si>
  <si>
    <t>Лист ("BA01.01"), строка 40, столбец 4 &lt;&gt; Лист ("SI04.01"), строка 10, столбец 4 + Лист ("SI04.01"), строка 36, столбец 4   ("Пожалуйста, проверьте строку: 01.01.115s ")</t>
  </si>
  <si>
    <t>Лист ("BA01.01"), строка 41, столбец 5 &lt;&gt; Лист ("SI04.01"), строка 20, столбец 5 + Лист ("SI04.01"), строка 21, столбец 5 + Лист ("SI04.01"), строка 27, столбец 5 + Лист ("SI04.01"), строка 28, столбец 5 + Лист ("SI04.01"), строка 46, столбец 5 + Лист ("SI04.01"), строка 47, столбец 5 + Лист ("SI04.01"), строка 53, столбец 5 + Лист ("SI04.01"), строка 54, столбец 5  ("Пожалуйста, проверьте строку: 01.01.120f ")</t>
  </si>
  <si>
    <t>Лист ("BA01.01"), строка 41, столбец 4 &lt;&gt; Лист ("SI04.01"), строка 20, столбец 4 + Лист ("SI04.01"), строка 21, столбец 4 + Лист ("SI04.01"), строка 27, столбец 4 + Лист ("SI04.01"), строка 28, столбец 4 + Лист ("SI04.01"), строка 46, столбец 4 + Лист ("SI04.01"), строка 47, столбец 4 + Лист ("SI04.01"), строка 53, столбец 4 + Лист ("SI04.01"), строка 54, столбец 4  ("Пожалуйста, проверьте строку: 01.01.120s ")</t>
  </si>
  <si>
    <t>Лист ("BA01.01"), строка 42, столбец 5 &lt;&gt; Лист ("SI04.01"), строка 22, столбец 5 + Лист ("SI04.01"), строка 29, столбец 5 + Лист ("SI04.01"), строка 48, столбец 5 + Лист ("SI04.01"), строка 55, столбец 5  ("Пожалуйста, проверьте строку: 01.01.125f ")</t>
  </si>
  <si>
    <t>Лист ("BA01.01"), строка 42, столбец 4 &lt;&gt; Лист ("SI04.01"), строка 22, столбец 4 + Лист ("SI04.01"), строка 29, столбец 4 + Лист ("SI04.01"), строка 48, столбец 4 + Лист ("SI04.01"), строка 55, столбец 4  ("Пожалуйста, проверьте строку: 01.01.125s ")</t>
  </si>
  <si>
    <t>Лист ("BA01.01"), строка 43, столбец 5 &lt;&gt; Лист ("SI04.01"), строка 11, столбец 5 + Лист ("SI04.01"), строка 12, столбец 5 + Лист ("SI04.01"), строка 37, столбец 5 + Лист ("SI04.01"), строка 38, столбец 5  ("Пожалуйста, проверьте строку: 01.01.130f ")</t>
  </si>
  <si>
    <t>Лист ("BA01.01"), строка 43, столбец 4 &lt;&gt; Лист ("SI04.01"), строка 11, столбец 4 + Лист ("SI04.01"), строка 12, столбец 4 + Лист ("SI04.01"), строка 37, столбец 4 + Лист ("SI04.01"), строка 38, столбец 4  ("Пожалуйста, проверьте строку: 01.01.130s ")</t>
  </si>
  <si>
    <t>Лист ("BA01.01"), строка 44, столбец 5 &lt;&gt; Лист ("SI04.01"), строка 13, столбец 5 + Лист ("SI04.01"), строка 14, столбец 5 + Лист ("SI04.01"), строка 15, столбец 5 + Лист ("SI04.01"), строка 16, столбец 5 + Лист ("SI04.01"), строка 17, столбец 5 + Лист ("SI04.01"), строка 18, столбец 5 + Лист ("SI04.01"), строка 19, столбец 5 + Лист ("SI04.01"), строка 26, столбец 5 + Лист ("SI04.01"), строка 30, столбец 5 + Лист ("SI04.01"), строка 31, столбец 5 + Лист ("SI04.01"), строка 39, столбец 5 + Лист ("SI04.01"), строка 40, столбец 5 + Лист ("SI04.01"), строка 41, столбец 5 + Лист ("SI04.01"), строка 42, столбец 5 + Лист ("SI04.01"), строка 43, столбец 5 + Лист ("SI04.01"), строка 44, столбец 5 + Лист ("SI04.01"), строка 45, столбец 5 + Лист ("SI04.01"), строка 52, столбец 5 + Лист ("SI04.01"), строка 56, столбец 5 + Лист ("SI04.01"), строка 57, столбец 5  ("Пожалуйста, проверьте строку: 01.01.135f ")</t>
  </si>
  <si>
    <t>Лист ("BA01.01"), строка 44, столбец 4 &lt;&gt; Лист ("SI04.01"), строка 13, столбец 4 + Лист ("SI04.01"), строка 14, столбец 4 + Лист ("SI04.01"), строка 15, столбец 4 + Лист ("SI04.01"), строка 16, столбец 4 + Лист ("SI04.01"), строка 17, столбец 4 + Лист ("SI04.01"), строка 18, столбец 4 + Лист ("SI04.01"), строка 19, столбец 4 + Лист ("SI04.01"), строка 26, столбец 4 + Лист ("SI04.01"), строка 30, столбец 4 + Лист ("SI04.01"), строка 31, столбец 4 + Лист ("SI04.01"), строка 39, столбец 4 + Лист ("SI04.01"), строка 40, столбец 4 + Лист ("SI04.01"), строка 41, столбец 4 + Лист ("SI04.01"), строка 42, столбец 4 + Лист ("SI04.01"), строка 43, столбец 4 + Лист ("SI04.01"), строка 44, столбец 4 + Лист ("SI04.01"), строка 45, столбец 4 + Лист ("SI04.01"), строка 52, столбец 4 + Лист ("SI04.01"), строка 56, столбец 4 + Лист ("SI04.01"), строка 57, столбец 4  ("Пожалуйста, проверьте строку: 01.01.135s ")</t>
  </si>
  <si>
    <t>Лист ("BA01.01"), строка 47, столбец 4 &lt;&gt; Лист ("CA15.01"), строка 14, столбец 4 + Лист ("CA15.01"), строка 19, столбец 4 + Лист ("CA15.01"), строка 24, столбец 4  ("Пожалуйста, проверьте строку: 01.01.145s ")</t>
  </si>
  <si>
    <t>Лист ("BA01.01"), строка 70, столбец 5 &lt;&gt; Лист ("SI04.01"), строка 62, столбец 5  ("Пожалуйста, проверьте строку: 01.01.215f ")</t>
  </si>
  <si>
    <t>Лист ("BA01.01"), строка 70, столбец 4 &lt;&gt; Лист ("SI04.01"), строка 62, столбец 4  ("Пожалуйста, проверьте строку: 01.01.215s ")</t>
  </si>
  <si>
    <t>Лист ("BA01.01"), строка 71, столбец 5 &lt;&gt; Лист ("SI04.01"), строка 72, столбец 5 + Лист ("SI04.01"), строка 73, столбец 5 + Лист ("SI04.01"), строка 79, столбец 5 + Лист ("SI04.01"), строка 80, столбец 5  ("Пожалуйста, проверьте строку: 01.01.220f ")</t>
  </si>
  <si>
    <t>Лист ("BA01.01"), строка 71, столбец 4 &lt;&gt; Лист ("SI04.01"), строка 72, столбец 4 + Лист ("SI04.01"), строка 73, столбец 4 + Лист ("SI04.01"), строка 79, столбец 4 + Лист ("SI04.01"), строка 80, столбец 4  ("Пожалуйста, проверьте строку: 01.01.220f ")</t>
  </si>
  <si>
    <t>Лист ("BA01.01"), строка 72, столбец 5 &lt;&gt; Лист ("SI04.01"), строка 74, столбец 5 + Лист ("SI04.01"), строка 81, столбец 5  ("Пожалуйста, проверьте строку: 01.01.225f ")</t>
  </si>
  <si>
    <t>Лист ("BA01.01"), строка 72, столбец 4 &lt;&gt; Лист ("SI04.01"), строка 74, столбец 4 + Лист ("SI04.01"), строка 81, столбец 4  ("Пожалуйста, проверьте строку: 01.01.225s ")</t>
  </si>
  <si>
    <t>Лист ("BA01.01"), строка 73, столбец 5 &lt;&gt; Лист ("SI04.01"), строка 63, столбец 5 + Лист ("SI04.01"), строка 64, столбец 5  ("Пожалуйста, проверьте строку: 01.01.230f ")</t>
  </si>
  <si>
    <t>Лист ("BA01.01"), строка 73, столбец 4 &lt;&gt; Лист ("SI04.01"), строка 63, столбец 4 + Лист ("SI04.01"), строка 64, столбец 4  ("Пожалуйста, проверьте строку: 01.01.230s ")</t>
  </si>
  <si>
    <t>Лист ("BA01.01"), строка 74, столбец 5 &lt;&gt; Лист ("SI04.01"), строка 65, столбец 5 + Лист ("SI04.01"), строка 66, столбец 5 + Лист ("SI04.01"), строка 67, столбец 5 + Лист ("SI04.01"), строка 68, столбец 5 + Лист ("SI04.01"), строка 69, столбец 5 + Лист ("SI04.01"), строка 70, столбец 5 + Лист ("SI04.01"), строка 71, столбец 5 + Лист ("SI04.01"), строка 78, столбец 5 + Лист ("SI04.01"), строка 82, столбец 5 + Лист ("SI04.01"), строка 83, столбец 5  ("Пожалуйста, проверьте строку: 01.01.235f ")</t>
  </si>
  <si>
    <t>Лист ("BA01.01"), строка 74, столбец 4 &lt;&gt; Лист ("SI04.01"), строка 65, столбец 4 + Лист ("SI04.01"), строка 66, столбец 4 + Лист ("SI04.01"), строка 67, столбец 4 + Лист ("SI04.01"), строка 68, столбец 4 + Лист ("SI04.01"), строка 69, столбец 4 + Лист ("SI04.01"), строка 70, столбец 4 + Лист ("SI04.01"), строка 71, столбец 4 + Лист ("SI04.01"), строка 78, столбец 4 + Лист ("SI04.01"), строка 82, столбец 4 + Лист ("SI04.01"), строка 83, столбец 4  ("Пожалуйста, проверьте строку: 01.01.235s ")</t>
  </si>
  <si>
    <t>Лист ("BA01.01"), строка 95, столбец 5 &lt;&gt; Лист ("BB01.05"), строка 7, столбец 5  ("Пожалуйста, проверьте строку: 01.01.320f ")</t>
  </si>
  <si>
    <t>Лист ("BA01.01"), строка 95, столбец 4 &lt;&gt; Лист ("BB01.05"), строка 7, столбец 4  ("Пожалуйста, проверьте строку: 01.01.320s ")</t>
  </si>
  <si>
    <t>Лист ("BA01.01"), строка 97, столбец 4 &lt;&gt; Лист ("CA15.03"), строка 19, столбец 4 + Лист ("CA15.03"), строка 20, столбец 4 + Лист ("CA15.03"), строка 21, столбец 4 + Лист ("CA15.03"), строка 22, столбец 4 + Лист ("CA15.03"), строка 23, столбец 4 - Лист ("CA15.03"), строка 24, столбец 4 - Лист ("CA15.04"), строка 40, столбец 4 + Лист ("BA01.01"), строка 84, столбец 4 + Лист ("BA01.01"), строка 90, столбец 4 + Лист ("SI04.01"), строка 27, столбец 4 + Лист ("SI04.01"), строка 28, столбец 4 + Лист ("SI04.01"), строка 29, столбец 4 + Лист ("SI04.01"), строка 53, столбец 4 + Лист ("SI04.01"), строка 54, столбец 4 + Лист ("SI04.01"), строка 55, столбец 4 + Лист ("SI04.01"), строка 79, столбец 4 + Лист ("SI04.01"), строка 80, столбец 4 + Лист ("SI04.01"), строка 81, столбец 4  ("Пожалуйста, проверьте строку: 01.01.325s ")</t>
  </si>
  <si>
    <t>Лист ("BA01.01"), строка 97, столбец 4 &lt;&gt; Лист ("BC01.03"), строка 24, столбец 4  ("Пожалуйста, проверьте строку: 01.01.325s ")</t>
  </si>
  <si>
    <t>Лист ("BL01.02"), строка 45, столбец 5 &lt;&gt; Лист ("BB01.05"), строка 22, столбец 5  ("Пожалуйста, проверьте строку: 01.02.155f ")</t>
  </si>
  <si>
    <t>Лист ("BL01.02"), строка 45, столбец 4 &lt;&gt; Лист ("BB01.05"), строка 22, столбец 4  ("Пожалуйста, проверьте строку: 01.02.155s ")</t>
  </si>
  <si>
    <t>Лист ("BC01.03"), строка 7, столбец 4 &lt;&gt; Лист ("CA15.05"), строка 9, столбец 4 + Лист ("CA15.05"), строка 10, столбец 4  ("Пожалуйста, проверьте строку: 01.03.000s ")</t>
  </si>
  <si>
    <t>Лист ("BC01.03"), строка 10, столбец 4 &lt;&gt; Лист ("CA15.05"), строка 11, столбец 4  ("Пожалуйста, проверьте строку: 01.03.035s ")</t>
  </si>
  <si>
    <t>Лист ("BC01.03"), строка 11, столбец 4 &lt;&gt; Лист ("CA15.05"), строка 16, столбец 4  ("Пожалуйста, проверьте строку: 01.03.040s ")</t>
  </si>
  <si>
    <t>Лист ("BC01.03"), строка 14, столбец 4 &lt;&gt; Лист ("CA15.05"), строка 13, столбец 4  ("Пожалуйста, проверьте строку: 01.03.055s ")</t>
  </si>
  <si>
    <t>Лист ("BC01.03"), строка 15, столбец 4 &lt;&gt; Лист ("CA15.05"), строка 12, столбец 4  ("Пожалуйста, проверьте строку: 01.03.060s ")</t>
  </si>
  <si>
    <t>Лист ("BC01.03"), строка 16, столбец 4 &lt;&gt; Лист ("CA15.05"), строка 14, столбец 4  ("Пожалуйста, проверьте строку: 01.03.065s ")</t>
  </si>
  <si>
    <t>Лист ("BO01.04"), строка 14, столбец 4 &lt;&gt; Лист ("CA15.04"), строка 23, столбец 4 + Лист ("CA15.04"), строка 24, столбец 4 + Лист ("CA15.04"), строка 25, столбец 4  ("Пожалуйста, проверьте строку: 01.04.035s ")</t>
  </si>
  <si>
    <t>Лист ("BO01.04"), строка 15, столбец 4 &lt;&gt; Лист ("CA15.04"), строка 14, столбец 4 + Лист ("CA15.04"), строка 15, столбец 4 + Лист ("CA15.04"), строка 16, столбец 4  ("Пожалуйста, проверьте строку: 01.04.040s ")</t>
  </si>
  <si>
    <t>Лист ("BO01.04"), строка 16, столбец 4 &lt;&gt; Лист ("CA15.04"), строка 17, столбец 4 + Лист ("CA15.04"), строка 18, столбец 4 + Лист ("CA15.04"), строка 19, столбец 4 + Лист ("CA15.04"), строка 26, столбец 4 + Лист ("CA15.04"), строка 27, столбец 4 + Лист ("CA15.04"), строка 28, столбец 4  ("Пожалуйста, проверьте строку: 01.04.045s ")</t>
  </si>
  <si>
    <t>Лист ("BO01.04"), строка 17, столбец 4 &lt;&gt; Лист ("CA15.04"), строка 10, столбец 4 + Лист ("CA15.04"), строка 11, столбец 4 + Лист ("CA15.04"), строка 12, столбец 4 + Лист ("CA15.04"), строка 13, столбец 4  ("Пожалуйста, проверьте строку: 01.04.050s ")</t>
  </si>
  <si>
    <t>Лист ("BO01.04"), строка 21, столбец 4 &lt;&gt; Лист ("CA15.04"), строка 32, столбец 4 + Лист ("CA15.04"), строка 33, столбец 4 + Лист ("CA15.04"), строка 34, столбец 4   ("Пожалуйста, проверьте строку: 01.04.070s ")</t>
  </si>
  <si>
    <t>Лист ("BO01.04"), строка 23, столбец 4 &lt;&gt; Лист ("CA15.04"), строка 20, столбец 4 + Лист ("CA15.04"), строка 21, столбец 4 + Лист ("CA15.04"), строка 22, столбец 4   ("Пожалуйста, проверьте строку: 01.04.080s ")</t>
  </si>
  <si>
    <t>Лист ("BO01.04"), строка 24, столбец 4 &lt;&gt; Лист ("CA15.04"), строка 29, столбец 4 + Лист ("CA15.04"), строка 30, столбец 4 + Лист ("CA15.04"), строка 31, столбец 4   ("Пожалуйста, проверьте строку: 01.04.085s ")</t>
  </si>
  <si>
    <t>Лист ("BB01.05"), строка 17, столбец 4 &lt;&gt; Лист ("OA05.01"), строка 28, столбец 4 + Лист ("OA05.02"), строка 28, столбец 4 - Лист ("BB01.05"), строка 16, столбец 4 - Лист ("BB01.05"), строка 18, столбец 4  ("Пожалуйста, проверьте строку: 01.05.050s ")</t>
  </si>
  <si>
    <t>Лист ("BB01.05"), строка 18, столбец 4 &gt; Лист ("OA05.01"), строка 28, столбец 4 + Лист ("OA05.02"), строка 28, столбец 4 - Лист ("BB01.05"), строка 16, столбец 4 - Лист ("BB01.05"), строка 17, столбец 4  ("Пожалуйста, проверьте строку: 01.05.055s ")</t>
  </si>
  <si>
    <t>Лист ("PL02.01"), строка 58, столбец 4 - Лист ("PL02.01"), строка 60, столбец 4 &lt;&gt; Лист ("MI17.01"), строка 77, столбец 4 - Лист ("MI17.01"), строка 78, столбец 4  ("Пожалуйста, проверьте строку: 02.01.201s ")</t>
  </si>
  <si>
    <t>Лист ("PL02.01"), строка 92, столбец 4 &lt;&gt; Лист ("MI17.01"), строка 15, столбец 4  ("Пожалуйста, проверьте строку: 02.01.345s ")</t>
  </si>
  <si>
    <t>Лист ("PL02.01"), строка 135, столбец 4 &lt;&gt; Лист ("BC01.03"), строка 13, столбец 4  ("Пожалуйста, проверьте строку: 02.01.525s ")</t>
  </si>
  <si>
    <t>Лист ("СС03.01"), строка 25, столбец 4 &lt;&gt; Лист ("BC01.03"), строка 23, столбец 4  ("Пожалуйста, проверьте строку: 03.01.100s ")</t>
  </si>
  <si>
    <t>Лист ("OA05.02"), строка 28, столбец 4 &lt;&gt; Лист ("BB01.05"), строка 16, столбец 5 ) + Лист ("BB01.05"), строка 17, столбец 5 ) + Лист ("BB01.05"), строка 18, столбец 5  ("Пожалуйста, проверьте строку: 05.02.055T ")</t>
  </si>
  <si>
    <t>Лист ("OA05.01"), строка 28, столбец 4 &lt;&gt; Лист ("BB01.05"), строка 16, столбец 4 ) + Лист ("BB01.05"), строка 17, столбец 4 ) + Лист ("BB01.05"), строка 18, столбец 4 - Лист ("OA05.02"), строка 28, столбец 4  ("Пожалуйста, проверьте строку: 05.01.055T ")</t>
  </si>
  <si>
    <t>Лист ("CA06.01"), строка 8, столбец 5 &lt;&gt; Лист ("BA01.01"), строка 58, столбец 4 ) - Лист ("BA01.01"), строка 58, столбец 5  ("Пожалуйста, проверьте строку: 06.01.000AT (1)")</t>
  </si>
  <si>
    <t>Лист ("CA06.01"), строка 8, столбец 5 &lt;&gt; Лист ("OA05.01"), строка 8, столбец 4 ) - Лист ("BA01.01"), строка 51, столбец 4 ) + Лист ("BA01.01"), строка 51, столбец 5 )  ("Пожалуйста, проверьте строку: 06.01.000AT (2) ")</t>
  </si>
  <si>
    <t>Лист ("CA06.01"), строка 8, столбец 4 &lt;&gt; Лист ("OA05.01"), строка 8, столбец 4  ("Пожалуйста, проверьте строку: 06.01.000T ")</t>
  </si>
  <si>
    <t>Лист ("CA06.02"), строка 8, столбец 4 &lt;&gt; Лист ("OA05.02"), строка 8, столбец 4  ("Пожалуйста, проверьте строку: 06.02.000T ")</t>
  </si>
  <si>
    <t>Лист ("CA06.01"), строка 9, столбец 5 &lt;&gt; Лист ("OA05.01"), строка 9, столбец 4 ) - Лист ("BA01.01"), строка 52, столбец 4 ) + Лист ("BA01.01"), строка 52, столбец 5 )  ("Пожалуйста, проверьте строку: 06.01.005AT ")</t>
  </si>
  <si>
    <t>Лист ("CA06.01"), строка 10, столбец 5 &lt;&gt; Лист ("OA05.01"), строка 10, столбец 4 ) - Лист ("BA01.01"), строка 53, столбец 4 ) + Лист ("BA01.01"), строка 53, столбец 5 )  ("Пожалуйста, проверьте строку: 06.01.010AT ")</t>
  </si>
  <si>
    <t>Лист ("CA06.01"), строка 11, столбец 5 &lt;&gt; Лист ("OA05.01"), строка 11, столбец 4 ) - Лист ("BA01.01"), строка 54, столбец 4 ) + Лист ("BA01.01"), строка 54, столбец 5 )  ("Пожалуйста, проверьте строку: 06.01.011AT ")</t>
  </si>
  <si>
    <t>Лист ("CA06.01"), строка 12, столбец 5 &lt;&gt; Лист ("OA05.01"), строка 12, столбец 4 ) - Лист ("BA01.01"), строка 55, столбец 4 ) + Лист ("BA01.01"), строка 55, столбец 5 )  ("Пожалуйста, проверьте строку: 06.01.015AT (2)")</t>
  </si>
  <si>
    <t>Лист ("CA06.01"), строка 13, столбец 5 &lt; Лист ("CL20.01"), строка 8, столбец 5 )  ("Пожалуйста, проверьте строку: 06.01.020AT (1)")</t>
  </si>
  <si>
    <t>Лист ("CA06.01"), строка 13, столбец 5 &lt;&gt; Лист ("OA05.01"), строка 13, столбец 4 ) - Лист ("BA01.01"), строка 56, столбец 4 ) + Лист ("BA01.01"), строка 56, столбец 5 )  ("Пожалуйста, проверьте строку: 06.01.020AT (2)")</t>
  </si>
  <si>
    <t>Лист ("CA06.01"), строка 14, столбец 5 &lt;&gt; Лист ("OA05.01"), строка 14, столбец 4 ) - Лист ("BA01.01"), строка 57, столбец 4 ) + Лист ("BA01.01"), строка 57, столбец 5 )  ("Пожалуйста, проверьте строку: 06.01.025AT ")</t>
  </si>
  <si>
    <t>Лист ("CA06.01"), строка 15, столбец 5 &lt;&gt; Лист ("OA05.01"), строка 15, столбец 4 ) - Лист ("BA01.01"), строка 59, столбец 4 ) + Лист ("BA01.01"), строка 59, столбец 5 )  ("Пожалуйста, проверьте строку: 06.01.030AT ")</t>
  </si>
  <si>
    <t>Лист ("CA06.01"), строка 15, столбец 5 &lt;&gt; Лист ("BA01.01"), строка 60, столбец 4 ) - Лист ("BA01.01"), строка 60, столбец 5 )  ("Пожалуйста, проверьте строку: 06.01.030AT ")</t>
  </si>
  <si>
    <t>Лист ("CA06.01"), строка 16, столбец 4 &lt;&gt; Лист ("OA05.01"), строка 16, столбец 4  ("Пожалуйста, проверьте строку: 06.01.031T ")</t>
  </si>
  <si>
    <t>Лист ("CA06.02"), строка 16, столбец 4 &lt;&gt; Лист ("OA05.02"), строка 16, столбец 4  ("Пожалуйста, проверьте строку: 06.02.031T ")</t>
  </si>
  <si>
    <t>Лист ("CA06.01"), строка 16, столбец 5 &lt;&gt; Лист ("OA05.01"), строка 16, столбец 4 ) - Лист ("BA01.01"), строка 61, столбец 4 ) + Лист ("BA01.01"), строка 61, столбец 5 )  ("Пожалуйста, проверьте строку: 06.01.031AT ")</t>
  </si>
  <si>
    <t>Лист ("CA06.01"), строка 17, столбец 5 &lt;&gt; Лист ("OA05.01"), строка 17, столбец 4 ) - Лист ("BA01.01"), строка 62, столбец 4 ) + Лист ("BA01.01"), строка 62, столбец 5 )  ("Пожалуйста, проверьте строку: 06.01.032AT ")</t>
  </si>
  <si>
    <t>Лист ("CA06.01"), строка 18, столбец 5 &lt;&gt; Лист ("OA05.01"), строка 18, столбец 4 ) - Лист ("BA01.01"), строка 63, столбец 4 ) + Лист ("BA01.01"), строка 63, столбец 5 )  ("Пожалуйста, проверьте строку: 06.01.033AT ")</t>
  </si>
  <si>
    <t>Лист ("CA06.01"), строка 19, столбец 5 &lt;&gt; Лист ("OA05.01"), строка 19, столбец 4 ) - Лист ("BA01.01"), строка 64, столбец 4 ) + Лист ("BA01.01"), строка 64, столбец 5 )  ("Пожалуйста, проверьте строку: 06.01.034AT ")</t>
  </si>
  <si>
    <t>Лист ("CA06.01"), строка 20, столбец 5 &lt;&gt; Лист ("OA05.01"), строка 20, столбец 4 ) - Лист ("BA01.01"), строка 65, столбец 4 ) + Лист ("BA01.01"), строка 65, столбец 5 )  ("Пожалуйста, проверьте строку: 06.01.036AT ")</t>
  </si>
  <si>
    <t>Лист ("CA06.01"), строка 21, столбец 5 &lt;&gt; Лист ("OA05.01"), строка 21, столбец 4 ) - Лист ("BA01.01"), строка 66, столбец 4 ) + Лист ("BA01.01"), строка 66, столбец 5 )  ("Пожалуйста, проверьте строку: 06.01.037AT ")</t>
  </si>
  <si>
    <t>Лист ("CA06.01"), строка 22, столбец 5 &lt;&gt; Лист ("OA05.01"), строка 22, столбец 4 ) - Лист ("BA01.01"), строка 67, столбец 4 ) + Лист ("BA01.01"), строка 67, столбец 5 )  ("Пожалуйста, проверьте строку: 06.01.038AT ")</t>
  </si>
  <si>
    <t>Лист ("CA06.01"), строка 23, столбец 5 &lt;&gt; Лист ("OA05.01"), строка 23, столбец 4 ) - Лист ("BA01.01"), строка 16, столбец 4 ) - Лист ("BA01.01"), строка 28, столбец 4 ) + Лист ("BA01.01"), строка 16, столбец 5 ) + Лист ("BA01.01"), строка 28, столбец 5 )  ("Пожалуйста, проверьте строку: 06.01.035AT ")</t>
  </si>
  <si>
    <t>Лист ("CA06.01"), строка 24, столбец 5 &lt;&gt; Листs(Лист ("OA05.01"), строка 24, столбец 4 ) - Лист ("BA01.01"), строка 17, столбец 4 ) - Лист ("BA01.01"), строка 29, столбец 4 ) + Лист ("BA01.01"), строка 17, столбец 5 ) + Лист ("BA01.01"), строка 29, столбец 5 )  ("Пожалуйста, проверьте строку: 06.01.040AT ")</t>
  </si>
  <si>
    <t>Лист ("CA06.01"), строка 25, столбец 5 &lt;&gt; Листs(Лист ("OA05.01"), строка 25, столбец 4 ) - Лист ("BA01.01"), строка 22, столбец 4 ) - Лист ("BA01.01"), строка 34, столбец 4 ) + Лист ("BA01.01"), строка 22, столбец 5 ) + Лист ("BA01.01"), строка 34, столбец 5 )  ("Пожалуйста, проверьте строку: 06.01.045AT ")</t>
  </si>
  <si>
    <t>Лист ("CA06.01"), строка 26, столбец 5 &lt;&gt; Листs(Лист ("OA05.01"), строка 26, столбец 4 ) - Лист ("BA01.01"), строка 23, столбец 4 ) - Лист ("BA01.01"), строка 35, столбец 4 ) + Лист ("BA01.01"), строка 23, столбец 5 ) + Лист ("BA01.01"), строка 35, столбец 5 )  ("Пожалуйста, проверьте строку: 06.01.046AT ")</t>
  </si>
  <si>
    <t>Лист ("CA06.01"), строка 27, столбец 5 &lt;&gt; Лист ("OA05.01"), строка 27, столбец 4 ) - Лист ("SI04.01"), строка 9, столбец 4 ) - Лист ("SI04.01"), строка 35, столбец 4 ) - Лист ("SI04.01"), строка 61, столбец 4 ) + Лист ("SI04.01"), строка 9, столбец 5 ) + Лист ("SI04.01"), строка 35, столбец 5 ) + Лист ("SI04.01"), строка 61, столбец 5 )  ("Пожалуйста, проверьте строку: 06.01.050AT ")</t>
  </si>
  <si>
    <t>Лист ("CA06.01"), строка 28, столбец 4 &lt; Лист ("OA05.01"), строка 28, столбец 4 )  ("Пожалуйста, проверьте строку: 06.01.055T ")</t>
  </si>
  <si>
    <t>Лист ("CA06.01"), строка 11, столбец 4 &lt; Лист ("CL20.01"), строка 15, столбец 4 )  ("Пожалуйста, проверьте строку: 20.01.0354 ")</t>
  </si>
  <si>
    <t>Лист ("CA06.01"), строка 13, столбец 4 + Лист ("CA06.01"), строка 21, столбец 4 &lt; Лист ("CL20.01"), строка 8, столбец 4 )  ("Пожалуйста, проверьте строку: 20.01.0004 ")</t>
  </si>
  <si>
    <t>Лист ("CA06.02"), строка 11, столбец 4 &lt; Лист ("CL20.02"), строка 15, столбец 4 )  ("Пожалуйста, проверьте строку: 20.02.0354 ")</t>
  </si>
  <si>
    <t>Лист ("CA06.02"), строка 13, столбец 4 + Лист ("CA06.02"), строка 21, столбец 4 &lt; Лист ("CL20.02"), строка 8, столбец 4 )  ("Пожалуйста, проверьте строку: 20.02.0004 ")</t>
  </si>
  <si>
    <t>Лист ("CA06.02"), строка 8, столбец 5 &lt;&gt; Лист ("BA01.01"), строка 58, столбец 5 )  ("Пожалуйста, проверьте строку: 06.02.000AcT (1)")</t>
  </si>
  <si>
    <t>Лист ("CA06.02"), строка 8, столбец 5 &lt;&gt; Лист ("OA05.02"), строка 8, столбец 4 ) - Лист ("BA01.01"), строка 51, столбец 5 )  ("Пожалуйста, проверьте строку: 06.02.000AcT (2)")</t>
  </si>
  <si>
    <t>Лист ("CA06.02"), строка 9, столбец 5 &lt;&gt; Лист ("OA05.02"), строка 9, столбец 4 ) - Лист ("BA01.01"), строка 52, столбец 5 )  ("Пожалуйста, проверьте строку: 06.02.005AcT ")</t>
  </si>
  <si>
    <t>Лист ("CA06.02"), строка 10, столбец 5 &lt;&gt; Лист ("OA05.02"), строка 10, столбец 4 ) - Лист ("BA01.01"), строка 53, столбец 5 )  ("Пожалуйста, проверьте строку: 06.02.010AcT ")</t>
  </si>
  <si>
    <t>Лист ("CA06.02"), строка 11, столбец 5 &lt;&gt; Лист ("OA05.02"), строка 11, столбец 4 ) - Лист ("BA01.01"), строка 54, столбец 5 )  ("Пожалуйста, проверьте строку: 06.02.011AcT ")</t>
  </si>
  <si>
    <t>Лист ("CA06.02"), строка 12, столбец 5 &lt;&gt; Лист ("OA05.02"), строка 12, столбец 4 ) - Лист ("BA01.01"), строка 55, столбец 5 )  ("Пожалуйста, проверьте строку: 06.02.015AcT ")</t>
  </si>
  <si>
    <t>Лист ("CA06.02"), строка 13, столбец 5 &lt;&gt; Лист ("OA05.02"), строка 13, столбец 4 ) - Лист ("BA01.01"), строка 56, столбец 5 )  ("Пожалуйста, проверьте строку: 06.02.020AcT (2)")</t>
  </si>
  <si>
    <t>Лист ("CA06.02"), строка 14, столбец 5 &lt;&gt; Лист ("OA05.02"), строка 14, столбец 4 ) - Лист ("BA01.01"), строка 57, столбец 5 )  ("Пожалуйста, проверьте строку: 06.02.025AcT ")</t>
  </si>
  <si>
    <t>Лист ("CA06.02"), строка 15, столбец 5 &lt;&gt; Лист ("BA01.01"), строка 60, столбец 5 )  ("Пожалуйста, проверьте строку: 06.02.030AcT ")</t>
  </si>
  <si>
    <t>Лист ("CA06.02"), строка 15, столбец 5 &lt;&gt; Лист ("OA05.02"), строка 15, столбец 4 ) - Лист ("BA01.01"), строка 59, столбец 5 )  ("Пожалуйста, проверьте строку: 06.02.030AcT ")</t>
  </si>
  <si>
    <t>Лист ("CA06.02"), строка 16, столбец 5 &lt;&gt; Лист ("OA05.02"), строка 16, столбец 4 ) - Лист ("BA01.01"), строка 61, столбец 5 )  ("Пожалуйста, проверьте строку: 06.02.031AcT ")</t>
  </si>
  <si>
    <t>Лист ("CA06.02"), строка 17, столбец 5 &lt;&gt; Лист ("OA05.02"), строка 17, столбец 4 ) - Лист ("BA01.01"), строка 62, столбец 5 )  ("Пожалуйста, проверьте строку: 06.02.032AcT ")</t>
  </si>
  <si>
    <t>Лист ("CA06.02"), строка 18, столбец 5 &lt;&gt; Лист ("OA05.02"), строка 18, столбец 4 ) - Лист ("BA01.01"), строка 63, столбец 5 )  ("Пожалуйста, проверьте строку: 06.02.033AcT ")</t>
  </si>
  <si>
    <t>Лист ("CA06.02"), строка 19, столбец 5 &lt;&gt; Лист ("OA05.02"), строка 19, столбец 4 ) - Лист ("BA01.01"), строка 64, столбец 5 )  ("Пожалуйста, проверьте строку: 06.02.034AcT ")</t>
  </si>
  <si>
    <t>Лист ("CA06.02"), строка 20, столбец 5 &lt;&gt; Лист ("OA05.02"), строка 20, столбец 4 ) - Лист ("BA01.01"), строка 65, столбец 5 )  ("Пожалуйста, проверьте строку: 06.02.036AcT ")</t>
  </si>
  <si>
    <t>Лист ("CA06.02"), строка 21, столбец 5 &lt;&gt; Лист ("OA05.02"), строка 21, столбец 4 ) - Лист ("BA01.01"), строка 66, столбец 5 )  ("Пожалуйста, проверьте строку: 06.02.037AcT ")</t>
  </si>
  <si>
    <t>Лист ("CA06.02"), строка 22, столбец 5 &lt;&gt; Лист ("OA05.02"), строка 22, столбец 4 ) - Лист ("BA01.01"), строка 67, столбец 5 )  ("Пожалуйста, проверьте строку: 06.02.038AcT ")</t>
  </si>
  <si>
    <t>Лист ("CA06.02"), строка 23, столбец 5 &lt;&gt; Лист ("OA05.02"), строка 23, столбец 4 ) - Лист ("BA01.01"), строка 16, столбец 5 ) - Лист ("BA01.01"), строка 28, столбец 5 )  ("Пожалуйста, проверьте строку: 06.02.035AcT ")</t>
  </si>
  <si>
    <t>Лист ("CA06.02"), строка 24, столбец 5 &lt;&gt; Лист ("OA05.02"), строка 24, столбец 4 ) - Лист ("BA01.01"), строка 17, столбец 5 ) - Лист ("BA01.01"), строка 29, столбец 5 )  ("Пожалуйста, проверьте строку: 06.02.040AcT ")</t>
  </si>
  <si>
    <t>Лист ("CA06.02"), строка 25, столбец 5 &lt;&gt; Лист ("OA05.02"), строка 25, столбец 4 ) - Лист ("BA01.01"), строка 22, столбец 5 ) - Лист ("BA01.01"), строка 34, столбец 5 )  ("Пожалуйста, проверьте строку: 06.02.045AcT ")</t>
  </si>
  <si>
    <t>Лист ("CA06.02"), строка 26, столбец 5 &lt;&gt; Лист ("OA05.02"), строка 26, столбец 4 ) - Лист ("BA01.01"), строка 23, столбец 5 ) - Лист ("BA01.01"), строка 35, столбец 5 )  ("Пожалуйста, проверьте строку: 06.02.046AcT ")</t>
  </si>
  <si>
    <t>Лист ("CA06.02"), строка 27, столбец 5 &lt;&gt; Лист ("OA05.02"), строка 27, столбец 4 ) - Лист ("SI04.01"), строка 9, столбец 5 ) - Лист ("SI04.01"), строка 35, столбец 5 ) - Лист ("SI04.01"), строка 61, столбец 5 )  ("Пожалуйста, проверьте строку: 06.02.050AcT ")</t>
  </si>
  <si>
    <t>Лист ("CA06.02"), строка 28, столбец 4 &lt;&gt; Лист ("OA05.02"), строка 28, столбец 4 )  ("Пожалуйста, проверьте строку: 06.02.055T ")</t>
  </si>
  <si>
    <t>Лист ("LB08.01"), строка 11, столбец 9 &gt; Лист ("BA01.01"), строка 50, столбец 4 ) + Лист ("BA01.01"), строка 61, столбец 4 )  ("Пожалуйста, проверьте строку: 08.01.030 ")</t>
  </si>
  <si>
    <t>Лист ("DS11.01"), строка 9, столбец 11 &gt; Лист ("BA01.01"), строка 50, столбец 4 ) + Лист ("BA01.01"), строка 61, столбец 4 )  ("Пожалуйста, проверьте строку: 09.01.040 ")</t>
  </si>
  <si>
    <t>Лист ("DS11.01"), строка 22, столбец 4 &lt;&gt; Лист ("BA01.01"), строка 51, столбец 4 ) - Лист ("DS11.01"), строка 22, столбец 5 )  ("Пожалуйста, проверьте строку: 11.01.065LS ")</t>
  </si>
  <si>
    <t>Лист ("DS11.01"), строка 22, столбец 5 &lt;&gt; Лист ("BA01.01"), строка 51, столбец 5 )  ("Пожалуйста, проверьте строку: 11.01.065LF ")</t>
  </si>
  <si>
    <t>Лист ("DS11.01"), строка 22, столбец 6 &lt;&gt; Лист ("BA01.01"), строка 61, столбец 4 ) - Лист ("DS11.01"), строка 22, столбец 7 )  ("Пожалуйста, проверьте строку: 11.01.065OS ")</t>
  </si>
  <si>
    <t>Лист ("DS11.01"), строка 22, столбец 7 &lt;&gt; Лист ("BA01.01"), строка 61, столбец 5 )  ("Пожалуйста, проверьте строку: 11.01.065OF ")</t>
  </si>
  <si>
    <t>Лист ("DS11.01"), строка 22, столбец 8 &lt;&gt; Лист ("BA01.01"), строка 13, столбец 4 ) + Лист ("BA01.01"), строка 38, столбец 4 ) + Лист ("BA01.01"), строка 39, столбец 4 ) + Лист ("BA01.01"), строка 47, столбец 4 ) + Лист ("BA01.01"), строка 59, столбец 4 ) + Лист ("BA01.01"), строка 69, столбец 4 ) - Лист ("BA01.01"), строка 13, столбец 5 ) - Лист ("BA01.01"), строка 38, столбец 5 ) - Лист ("BA01.01"), строка 39, столбец 5 ) - Лист ("BA01.01"), строка 47, столбец 5 ) - Лист ("BA01.01"), строка 59, столбец 5 ) - Лист ("BA01.01"), строка 69, столбец 5 )  ("Пожалуйста, проверьте строку: 11.01.065OAS ")</t>
  </si>
  <si>
    <t>Лист ("DS11.01"), строка 22, столбец 9 &lt;&gt; Лист ("BA01.01"), строка 13, столбец 5 ) + Лист ("BA01.01"), строка 38, столбец 5 ) + Лист ("BA01.01"), строка 39, столбец 5 ) + Лист ("BA01.01"), строка 47, столбец 5 ) + Лист ("BA01.01"), строка 59, столбец 5 ) + Лист ("BA01.01"), строка 69, столбец 5 )  ("Пожалуйста, проверьте строку: 11.01.065OAF ")</t>
  </si>
  <si>
    <t>Лист ("DS11.01"), строка 22, столбец 10 &lt;&gt; Лист ("BO01.04"), строка 7, столбец 4 ) - Лист ("BO01.04"), строка 7, столбец 5 ) - Лист ("BO01.04"), строка 25, столбец 4 ) - Лист ("BO01.04"), строка 36, столбец 4 ) - Лист ("BO01.04"), строка 37, столбец 4 ) + Лист ("BO01.04"), строка 25, столбец 5 )  ("Пожалуйста, проверьте строку: 11.01.065CLS ")</t>
  </si>
  <si>
    <t>Лист ("DS11.01"), строка 22, столбец 11 &lt;&gt; Лист ("BO01.04"), строка 7, столбец 5 ) - Лист ("BO01.04"), строка 25, столбец 5 ) - Лист ("BO01.04"), строка 36, столбец 5 ) - Лист ("BO01.04"), строка 37, столбец 5 )  ("Пожалуйста, проверьте строку: 11.01.065CLF ")</t>
  </si>
  <si>
    <t>Лист ("DD11.02"), строка 22, столбец 4 &lt;&gt; Лист ("BL01.02"), строка 30, столбец 4 ) + Лист ("BL01.02"), строка 33, столбец 4 ) - Лист ("BL01.02"), строка 30, столбец 5 ) - Лист ("BL01.02"), строка 33, столбец 5 )  ("Пожалуйста, проверьте строку: 11.02.065DDs ")</t>
  </si>
  <si>
    <t>Лист ("DD11.02"), строка 22, столбец 5 &lt;&gt; Лист ("BL01.02"), строка 30, столбец 5 ) + Лист ("BL01.02"), строка 33, столбец 5 )  ("Пожалуйста, проверьте строку: 11.02.065DDf ")</t>
  </si>
  <si>
    <t>Лист ("DD11.02"), строка 22, столбец 6 &lt;&gt; Лист ("BL01.02"), строка 31, столбец 4 ) - Лист ("BL01.02"), строка 31, столбец 5 )  ("Пожалуйста, проверьте строку: 11.02.065Ss")</t>
  </si>
  <si>
    <t>Лист ("DD11.02"), строка 22, столбец 7 &lt;&gt; Лист ("BL01.02"), строка 31, столбец 5 )  ("Пожалуйста, проверьте строку: 11.02.065Sf ")</t>
  </si>
  <si>
    <t>Лист ("DD11.02"), строка 22, столбец 8 &lt;&gt; Лист ("BL01.02"), строка 32, столбец 4 ) - Лист ("BL01.02"), строка 32, столбец 5 )  ("Пожалуйста, проверьте строку: 11.02.065TDs")</t>
  </si>
  <si>
    <t>Лист ("DD11.02"), строка 22, столбец 9 &lt;&gt; Лист ("BL01.02"), строка 32, столбец 5 )  ("Пожалуйста, проверьте строку: 11.02.065TDf ")</t>
  </si>
  <si>
    <t>Лист ("GA12.01"), строка 10, столбец 12 &lt;&gt; Лист ("BA01.01"), строка 10, столбец 4 ) + Лист ("BA01.01"), строка 12, столбец 4 )  ("Пожалуйста, проверьте строку: 12.01.000t")</t>
  </si>
  <si>
    <t>Лист ("GA12.01"), строка 11, столбец 12 &lt;&gt; Лист ("BA01.01"), строка 10, столбец 5 ) + Лист ("BA01.01"), строка 12, столбец 5 )  ("Пожалуйста, проверьте строку: 12.01.005t")</t>
  </si>
  <si>
    <t>Лист ("GA12.01"), строка 12, столбец 12 &lt;&gt; Лист ("BA01.01"), строка 13, столбец 4 ) + Лист ("BA01.01"), строка 47, столбец 4 ) + Лист ("BA01.01"), строка 88, столбец 4 ) + Лист ("BA01.01"), строка 89, столбец 4 - Лист ("BA01.01"), строка 17, столбец 4 ) - Лист ("BA01.01"), строка 18, столбец 4 ) - Лист ("BA01.01"), строка 23, столбец 4 ) - Лист ("BA01.01"), строка 24, столбец 4 ) - Лист ("BA01.01"), строка 29, столбец 4 ) - Лист ("BA01.01"), строка 30, столбец 4 - Лист ("BA01.01"), строка 35, столбец 4 ) - Лист ("BA01.01"), строка 36, столбец 4 )  ("Пожалуйста, проверьте строку: 12.01.010t")</t>
  </si>
  <si>
    <t>Лист ("GA12.01"), строка 13, столбец 12 &lt;&gt; Лист ("BA01.01"), строка 13, столбец 5 ) + Лист ("BA01.01"), строка 47, столбец 5 ) + Лист ("BA01.01"), строка 88, столбец 5 ) + Лист ("BA01.01"), строка 89, столбец 5 - Лист ("BA01.01"), строка 17, столбец 5 ) - Лист ("BA01.01"), строка 18, столбец 5 ) - Лист ("BA01.01"), строка 23, столбец 5 ) - Лист ("BA01.01"), строка 24, столбец 5 ) - Лист ("BA01.01"), строка 29, столбец 5 ) - Лист ("BA01.01"), строка 30, столбец 5 - Лист ("BA01.01"), строка 35, столбец 5 ) - Лист ("BA01.01"), строка 36, столбец 5  ("Пожалуйста, проверьте строку: 12.01.015t")</t>
  </si>
  <si>
    <t>Лист ("GA12.01"), строка 14, столбец 12 &lt;&gt; Лист ("BA01.01"), строка 17, столбец 4 ) + Лист ("BA01.01"), строка 23, столбец 4 ) + Лист ("BA01.01"), строка 29, столбец 4 ) + Лист ("BA01.01"), строка 35, столбец 4 )  ("Пожалуйста, проверьте строку: 12.01.016t")</t>
  </si>
  <si>
    <t>Лист ("GA12.01"), строка 15, столбец 12 &lt;&gt; Лист ("BA01.01"), строка 17, столбец 5 ) + Лист ("BA01.01"), строка 23, столбец 5 ) + Лист ("BA01.01"), строка 29, столбец 5 ) + Лист ("BA01.01"), строка 35, столбец 5 )  ("Пожалуйста, проверьте строку: 12.01.017t")</t>
  </si>
  <si>
    <t>Лист ("GA12.01"), строка 16, столбец 12 &lt;&gt; Лист ("BA01.01"), строка 38, столбец 4 )  ("Пожалуйста, проверьте строку: 12.01.020t ")</t>
  </si>
  <si>
    <t>Лист ("GA12.01"), строка 17, столбец 12 &lt;&gt; Лист ("BA01.01"), строка 38, столбец 5 )  ("Пожалуйста, проверьте строку: 12.01.025t ")</t>
  </si>
  <si>
    <t>Лист ("GA12.01"), строка 18, столбец 12 &lt;&gt; Лист ("SI04.01"), строка 9, столбец 4 ) + Лист ("SI04.01"), строка 35, столбец 4 ) + Лист ("SI04.01"), строка 61, столбец 4 )  ("Пожалуйста, проверьте строку: 12.01.030t ")</t>
  </si>
  <si>
    <t>Лист ("GA12.01"), строка 19, столбец 12 &lt;&gt; Лист ("SI04.01"), строка 9, столбец 5 ) + Лист ("SI04.01"), строка 35, столбец 5 ) + Лист ("SI04.01"), строка 61, столбец 5 )  ("Пожалуйста, проверьте строку: 12.01.035t ")</t>
  </si>
  <si>
    <t>Лист ("GA12.01"), строка 20, столбец 12 &lt;&gt; Лист ("BA01.01"), строка 50, столбец 4 )  ("Пожалуйста, проверьте строку: 12.01.040t ")</t>
  </si>
  <si>
    <t>Лист ("GA12.01"), строка 21, столбец 12 &lt;&gt; Лист ("BA01.01"), строка 50, столбец 5 )  ("Пожалуйста, проверьте строку: 12.01.045t ")</t>
  </si>
  <si>
    <t>Лист ("GA12.01"), строка 22, столбец 12 &lt;&gt; Лист ("BA01.01"), строка 61, столбец 4 )  ("Пожалуйста, проверьте строку: 12.01.046t ")</t>
  </si>
  <si>
    <t>Лист ("GA12.01"), строка 23, столбец 12 &lt;&gt; Лист ("BA01.01"), строка 61, столбец 5 )  ("Пожалуйста, проверьте строку: 12.01.047t ")</t>
  </si>
  <si>
    <t>Лист ("GA12.01"), строка 24, столбец 12 &lt;&gt; Лист ("BA01.01"), строка 18, столбец 4 ) + Лист ("BA01.01"), строка 24, столбец 4 ) + Лист ("BA01.01"), строка 30, столбец 4 ) + Лист ("BA01.01"), строка 36, столбец 4 )  ("Пожалуйста, проверьте строку: 12.01.050t ")</t>
  </si>
  <si>
    <t>Лист ("GA12.01"), строка 25, столбец 12 &lt;&gt; Лист ("BA01.01"), строка 18, столбец 5 ) + Лист ("BA01.01"), строка 24, столбец 5 ) + Лист ("BA01.01"), строка 30, столбец 5 ) + Лист ("BA01.01"), строка 36, столбец 5 )  ("Пожалуйста, проверьте строку: 12.01.055t ")</t>
  </si>
  <si>
    <t>Лист ("GA12.02"), строка 10, столбец 11 &lt;&gt; Лист ("BL01.02"), строка 7, столбец 4 )  ("Пожалуйста, проверьте строку: 12.02.0002T ")</t>
  </si>
  <si>
    <t>Лист ("GA12.02"), строка 11, столбец 11 &lt;&gt; Лист ("BL01.02"), строка 7, столбец 5 )  ("Пожалуйста, проверьте строку: 12.02.0052T ")</t>
  </si>
  <si>
    <t>Лист ("GA12.02"), строка 12, столбец 11 &lt;&gt; Лист ("BL01.02"), строка 8, столбец 4 ) + Лист ("BL01.02"), строка 26, столбец 4 ) + Лист ("BL01.02"), строка 38, столбец 4 ) + Лист ("BL01.02"), строка 39, столбец 4 ) - Лист ("BL01.02"), строка 12, столбец 4 ) - Лист ("BL01.02"), строка 16, столбец 4 ) - Лист ("BL01.02"), строка 20, столбец 4 ) - Лист ("BL01.02"), строка 24, столбец 4 )  ("Пожалуйста, проверьте строку: 12.02.0102T ")</t>
  </si>
  <si>
    <t>Лист ("GA12.02"), строка 13, столбец 11 &lt;&gt; Лист ("BL01.02"), строка 8, столбец 5 ) + Лист ("BL01.02"), строка 26, столбец 5 ) + Лист ("BL01.02"), строка 38, столбец 5 ) + Лист ("BL01.02"), строка 39, столбец 5 ) - Лист ("BL01.02"), строка 12, столбец 5 ) - Лист ("BL01.02"), строка 16, столбец 5 ) - Лист ("BL01.02"), строка 20, столбец 5 ) - Лист ("BL01.02"), строка 24, столбец 5 )  ("Пожалуйста, проверьте строку: 12.02.0152T ")</t>
  </si>
  <si>
    <t>Лист ("GA12.02"), строка 14, столбец 11 &lt;&gt; Лист ("BL01.02"), строка 12, столбец 4 ) + Лист ("BL01.02"), строка 16, столбец 4 ) + Лист ("BL01.02"), строка 20, столбец 4 ) + Лист ("BL01.02"), строка 24, столбец 4 )  ("Пожалуйста, проверьте строку: 12.02.0162T ")</t>
  </si>
  <si>
    <t>Лист ("GA12.02"), строка 15, столбец 11 &lt;&gt; Лист ("BL01.02"), строка 12, столбец 5 ) + Лист ("BL01.02"), строка 16, столбец 5 ) + Лист ("BL01.02"), строка 20, столбец 5 ) + Лист ("BL01.02"), строка 24, столбец 5 )  ("Пожалуйста, проверьте строку: 12.02.0172T ")</t>
  </si>
  <si>
    <t>Лист ("GA12.02"), строка 16, столбец 11 &lt;&gt; Лист ("BL01.02"), строка 25, столбец 4 )  ("Пожалуйста, проверьте строку: 12.02.0202T ")</t>
  </si>
  <si>
    <t>Лист ("GA12.02"), строка 17, столбец 11 &lt;&gt; Лист ("BL01.02"), строка 25, столбец 5 )  ("Пожалуйста, проверьте строку: 12.02.0252T ")</t>
  </si>
  <si>
    <t>Лист ("GA12.02"), строка 18, столбец 11 &lt;&gt; Лист ("BL01.02"), строка 34, столбец 4 )  ("Пожалуйста, проверьте строку: 12.02.0302T ")</t>
  </si>
  <si>
    <t>Лист ("GA12.02"), строка 19, столбец 11 &lt;&gt; Лист ("BL01.02"), строка 34, столбец 5 )  ("Пожалуйста, проверьте строку: 12.02.0352T ")</t>
  </si>
  <si>
    <t>Лист ("GA12.02"), строка 20, столбец 11 &lt;&gt; Лист ("BL01.02"), строка 29, столбец 4 ) + Лист ("BL01.02"), строка 33, столбец 4 )  ("Пожалуйста, проверьте строку: 12.02.0402T ")</t>
  </si>
  <si>
    <t>Лист ("GA12.02"), строка 21, столбец 11 &lt;&gt; Лист ("BL01.02"), строка 29, столбец 5 ) + Лист ("BL01.02"), строка 33, столбец 5 )  ("Пожалуйста, проверьте строку: 12.02.0452T ")</t>
  </si>
  <si>
    <t>Лист ("GA12.02"), строка 22, столбец 11 &lt;&gt; Лист ("BL01.02"), строка 35, столбец 4 )  ("Пожалуйста, проверьте строку: 12.02.0502T ")</t>
  </si>
  <si>
    <t>Лист ("GA12.02"), строка 23, столбец 11 &lt;&gt; Лист ("BL01.02"), строка 35, столбец 5 )  ("Пожалуйста, проверьте строку: 12.02.0552T ")</t>
  </si>
  <si>
    <t>Лист ("RM12.03"), строка 10, столбец 12 &lt;&gt; Лист ("GA12.01"), строка 10, столбец 12 )  ("Пожалуйста, проверьте строку: 12.03.000t ")</t>
  </si>
  <si>
    <t>Лист ("RM12.03"), строка 11, столбец 12 &lt;&gt; Лист ("GA12.01"), строка 11, столбец 12 )  ("Пожалуйста, проверьте строку: 12.03.005t ")</t>
  </si>
  <si>
    <t>Лист ("RM12.03"), строка 12, столбец 12 &lt;&gt; Лист ("GA12.01"), строка 12, столбец 12 )  ("Пожалуйста, проверьте строку: 12.03.010t ")</t>
  </si>
  <si>
    <t>Лист ("RM12.03"), строка 13, столбец 12 &lt;&gt; Лист ("GA12.01"), строка 13, столбец 12 )  ("Пожалуйста, проверьте строку: 12.03.015t ")</t>
  </si>
  <si>
    <t>Лист ("RM12.03"), строка 14, столбец 12 &lt;&gt; Лист ("GA12.01"), строка 14, столбец 12 )  ("Пожалуйста, проверьте строку: 12.03.016t ")</t>
  </si>
  <si>
    <t>Лист ("RM12.03"), строка 15, столбец 12 &lt;&gt; Лист ("GA12.01"), строка 15, столбец 12 )  ("Пожалуйста, проверьте строку: 12.03.017t ")</t>
  </si>
  <si>
    <t>Лист ("RM12.03"), строка 16, столбец 12 &lt;&gt; Лист ("GA12.01"), строка 16, столбец 12 )  ("Пожалуйста, проверьте строку: 12.03.020t ")</t>
  </si>
  <si>
    <t>Лист ("RM12.03"), строка 17, столбец 12 &lt;&gt; Лист ("GA12.01"), строка 17, столбец 12 )  ("Пожалуйста, проверьте строку: 12.03.025t ")</t>
  </si>
  <si>
    <t>Лист ("RM12.03"), строка 18, столбец 12 &lt;&gt; Лист ("GA12.01"), строка 18, столбец 12 )  ("Пожалуйста, проверьте строку: 12.03.030t ")</t>
  </si>
  <si>
    <t>Лист ("RM12.03"), строка 19, столбец 12 &lt;&gt; Лист ("GA12.01"), строка 19, столбец 12 )  ("Пожалуйста, проверьте строку: 12.03.035t ")</t>
  </si>
  <si>
    <t>Лист ("RM12.03"), строка 20, столбец 12 &lt;&gt; Лист ("GA12.01"), строка 20, столбец 12 )  ("Пожалуйста, проверьте строку: 12.03.040t ")</t>
  </si>
  <si>
    <t>Лист ("RM12.03"), строка 21, столбец 12 &lt;&gt; Лист ("GA12.01"), строка 21, столбец 12 )  ("Пожалуйста, проверьте строку: 12.03.045t ")</t>
  </si>
  <si>
    <t>Лист ("RM12.03"), строка 22, столбец 12 &lt;&gt; Лист ("GA12.01"), строка 22, столбец 12 )  ("Пожалуйста, проверьте строку: 12.03.050t ")</t>
  </si>
  <si>
    <t>Лист ("RM12.03"), строка 23, столбец 12 &lt;&gt; Лист ("GA12.01"), строка 23, столбец 12 )  ("Пожалуйста, проверьте строку: 12.03.055t ")</t>
  </si>
  <si>
    <t>Лист ("RM12.04"), строка 10, столбец 11 &lt;&gt; Лист ("GA12.02"), строка 10, столбец 11 )  ("Пожалуйста, проверьте строку: 12.04.000t ")</t>
  </si>
  <si>
    <t>Лист ("RM12.04"), строка 11, столбец 11 &lt;&gt; Лист ("GA12.02"), строка 11, столбец 11 )  ("Пожалуйста, проверьте строку: 12.04.005t ")</t>
  </si>
  <si>
    <t>Лист ("RM12.04"), строка 12, столбец 11 &lt;&gt; Лист ("GA12.02"), строка 12, столбец 11 )  ("Пожалуйста, проверьте строку: 12.04.010t ")</t>
  </si>
  <si>
    <t>Лист ("RM12.04"), строка 13, столбец 11 &lt;&gt; Лист ("GA12.02"), строка 13, столбец 11 )  ("Пожалуйста, проверьте строку: 12.04.015t ")</t>
  </si>
  <si>
    <t>Лист ("RM12.04"), строка 14, столбец 11 &lt;&gt; Лист ("GA12.02"), строка 14, столбец 11 )  ("Пожалуйста, проверьте строку: 12.04.016t ")</t>
  </si>
  <si>
    <t>Лист ("RM12.04"), строка 15, столбец 11 &lt;&gt; Лист ("GA12.02"), строка 15, столбец 11 )  ("Пожалуйста, проверьте строку: 12.04.017t ")</t>
  </si>
  <si>
    <t>Лист ("RM12.04"), строка 16, столбец 11 &lt;&gt; Лист ("GA12.02"), строка 16, столбец 11 )  ("Пожалуйста, проверьте строку: 12.04.020t ")</t>
  </si>
  <si>
    <t>Лист ("RM12.04"), строка 17, столбец 11 &lt;&gt; Лист ("GA12.02"), строка 17, столбец 11 )  ("Пожалуйста, проверьте строку: 12.04.025t ")</t>
  </si>
  <si>
    <t>Лист ("RM12.04"), строка 18, столбец 11 &lt;&gt; Лист ("GA12.02"), строка 18, столбец 11 )  ("Пожалуйста, проверьте строку: 12.04.030t ")</t>
  </si>
  <si>
    <t>Лист ("RM12.04"), строка 19, столбец 11 &lt;&gt; Лист ("GA12.02"), строка 19, столбец 11 )  ("Пожалуйста, проверьте строку: 12.04.035t ")</t>
  </si>
  <si>
    <t>Лист ("RM12.04"), строка 20, столбец 11 &lt;&gt; Лист ("GA12.02"), строка 20, столбец 11 )  ("Пожалуйста, проверьте строку: 12.04.040t ")</t>
  </si>
  <si>
    <t>Лист ("RM12.04"), строка 21, столбец 11 &lt;&gt; Лист ("GA12.02"), строка 21, столбец 11 )  ("Пожалуйста, проверьте строку: 12.04.045t ")</t>
  </si>
  <si>
    <t>Лист ("RM12.04"), строка 22, столбец 11 &lt;&gt; Лист ("GA12.02"), строка 22, столбец 11 )  ("Пожалуйста, проверьте строку: 12.04.050t ")</t>
  </si>
  <si>
    <t>Лист ("RM12.04"), строка 23, столбец 11 &lt;&gt; Лист ("GA12.02"), строка 23, столбец 11 )  ("Пожалуйста, проверьте строку: 12.04.055t ")</t>
  </si>
  <si>
    <t>Лист ("DA13.01"), строка 23, столбец 9 &lt;&gt; Лист ("BL01.02"), строка 30, столбец 4 ) - Лист ("BL01.02"), строка 30, столбец 5 )  ("Пожалуйста, проверьте строку: 13.01.070st ")</t>
  </si>
  <si>
    <t>Лист ("DA13.01"), строка 43, столбец 9 &lt;&gt; Лист ("BL01.02"), строка 30, столбец 5 )  ("Пожалуйста, проверьте строку: 13.02.070ft ")</t>
  </si>
  <si>
    <t>Лист ("DA13.03"), строка 23, столбец 9 &lt;&gt; Лист ("BL01.02"), строка 32, столбец 4 ) - Лист ("BL01.02"), строка 32, столбец 5 )  ("Пожалуйста, проверьте строку: 13.03.070st ")</t>
  </si>
  <si>
    <t>Лист ("DA13.03"), строка 43, столбец 9 &lt;&gt; Лист ("BL01.02"), строка 32, столбец 5 )  ("Пожалуйста, проверьте строку: 13.04.070ft ")</t>
  </si>
  <si>
    <t>Лист ("DA13.05"), строка 23, столбец 9 &lt;&gt; Лист ("BL01.02"), строка 31, столбец 4 ) - Лист ("BL01.02"), строка 31, столбец 5 )  ("Пожалуйста, проверьте строку: 13.05.070st ")</t>
  </si>
  <si>
    <t>Лист ("DA13.05"), строка 43, столбец 9 &lt;&gt; Лист ("BL01.02"), строка 31, столбец 5 )  ("Пожалуйста, проверьте строку: 13.06.070ft ")</t>
  </si>
  <si>
    <t>Лист ("CA15.01"), строка 7, столбец 4 &lt;&gt; Лист ("BA01.01"), строка 9, столбец 4 )  ("Пожалуйста, проверьте строку: 15.01.000 ")</t>
  </si>
  <si>
    <t>Лист ("CA15.01"), строка 8, столбец 4 &lt;&gt; Лист ("BA01.01"), строка 7, столбец 4 )  ("Пожалуйста, проверьте строку: 15.01.005 ")</t>
  </si>
  <si>
    <t>Лист ("CA15.01"), строка 9, столбец 4 &lt;&gt; Лист ("BA01.01"), строка 8, столбец 4 )  ("Пожалуйста, проверьте строку: 15.01.010 ")</t>
  </si>
  <si>
    <t>Лист ("CA15.01"), строка 10, столбец 4 &lt;&gt; Лист ("BA01.01"), строка 26, столбец 4 ) + Лист ("BA01.01"), строка 49, столбец 4 ) - Лист ("CA15.01"), строка 20, столбец 4 )  ("Пожалуйста, проверьте строку: 15.01.015 ")</t>
  </si>
  <si>
    <t>Лист ("CA15.01"), строка 15, столбец 4 &lt;&gt; Лист ("BA01.01"), строка 14, столбец 4 ) + Лист ("BA01.01"), строка 48, столбец 4 )  ("Пожалуйста, проверьте строку: 15.01.040 ")</t>
  </si>
  <si>
    <t>Лист ("CA15.01"), строка 19, столбец 4 &lt;&gt; Лист ("BA01.01"), строка 48, столбец 4 )  ("Пожалуйста, проверьте строку: 15.01.060 ")</t>
  </si>
  <si>
    <t>Лист ("CA15.01"), строка 25, столбец 4 &lt;&gt; Лист ("BA01.01"), строка 38, столбец 4 )  ("Пожалуйста, проверьте строку: 15.01.090 ")</t>
  </si>
  <si>
    <t>Лист ("CA15.02"), строка 7, столбец 4 &lt;&gt; Лист ("BA01.01"), строка 40, столбец 4 ) + Лист ("BA01.01"), строка 70, столбец 4 )  ("Пожалуйста, проверьте строку: 15.02.000 ")</t>
  </si>
  <si>
    <t>Лист ("CA15.02"), строка 8, столбец 4 &lt;&gt; Лист ("BA01.01"), строка 43, столбец 4 ) + Лист ("BA01.01"), строка 73, столбец 4 )  ("Пожалуйста, проверьте строку: 15.02.005 ")</t>
  </si>
  <si>
    <t>Лист ("CA15.02"), строка 9, столбец 4 &lt;&gt; Лист ("SI04.01"), строка 13, столбец 4 ) + Лист ("SI04.01"), строка 26, столбец 4 ) + Лист ("SI04.01"), строка 39, столбец 4 ) + Лист ("SI04.01"), строка 52, столбец 4 ) + Лист ("SI04.01"), строка 65, столбец 4 ) + Лист ("SI04.01"), строка 78, столбец 4 )  ("Пожалуйста, проверьте строку: 15.02.010 ")</t>
  </si>
  <si>
    <t>Лист ("CA15.02"), строка 10, столбец 4 &lt;&gt; Лист ("SI04.01"), строка 16, столбец 4 ) + Лист ("SI04.01"), строка 42, столбец 4 ) + Лист ("SI04.01"), строка 68, столбец 4 )   ("Пожалуйста, проверьте строку: 15.02.015 ")</t>
  </si>
  <si>
    <t>Лист ("CA15.02"), строка 11, столбец 4 &lt;&gt; Лист ("SI04.01"), строка 21, столбец 4 ) + Лист ("SI04.01"), строка 47, столбец 4 ) + Лист ("SI04.01"), строка 73, столбец 4 ) - Лист ("CA15.02"), строка 13, столбец 4 )  ("Пожалуйста, проверьте строку: 15.02.020 ")</t>
  </si>
  <si>
    <t>Лист ("CA15.02"), строка 12, столбец 4 &lt;&gt; Лист ("SI04.01"), строка 20, столбец 4 ) + Лист ("SI04.01"), строка 46, столбец 4 ) + Лист ("SI04.01"), строка 72, столбец 4 )   ("Пожалуйста, проверьте строку: 15.02.025 ")</t>
  </si>
  <si>
    <t>Лист ("CA15.02"), строка 14, столбец 4 &lt;&gt; Лист ("SI04.01"), строка 14, столбец 4 ) + Лист ("SI04.01"), строка 40, столбец 4 ) + Лист ("SI04.01"), строка 66, столбец 4 )   ("Пожалуйста, проверьте строку: 15.02.035 ")</t>
  </si>
  <si>
    <t>Лист ("CA15.02"), строка 15, столбец 4 &lt;&gt; Лист ("SI04.01"), строка 15, столбец 4 ) + Лист ("SI04.01"), строка 41, столбец 4 ) + Лист ("SI04.01"), строка 67, столбец 4 )   ("Пожалуйста, проверьте строку: 15.02.040 ")</t>
  </si>
  <si>
    <t>Лист ("CA15.02"), строка 16, столбец 4 &lt;&gt; Лист ("SI04.01"), строка 22, столбец 4 ) + Лист ("SI04.01"), строка 48, столбец 4 ) + Лист ("SI04.01"), строка 74, столбец 4 )   ("Пожалуйста, проверьте строку: 15.02.045 ")</t>
  </si>
  <si>
    <t>Лист ("CA15.02"), строка 17, столбец 4 &lt;&gt; Лист ("SI04.01"), строка 17, столбец 4 ) + Лист ("SI04.01"), строка 43, столбец 4 ) + Лист ("SI04.01"), строка 69, столбец 4 )   ("Пожалуйста, проверьте строку: 15.02.050 ")</t>
  </si>
  <si>
    <t>Лист ("CA15.02"), строка 18, столбец 4 &lt;&gt; Лист ("SI04.01"), строка 18, столбец 4 ) + Лист ("SI04.01"), строка 30, столбец 4 ) + Лист ("SI04.01"), строка 44, столбец 4 )  + Лист ("SI04.01"), строка 56, столбец 4 ) + Лист ("SI04.01"), строка 70, столбец 4 ) + Лист ("SI04.01"), строка 82, столбец 4 )  ("Пожалуйста, проверьте строку: 15.02.055 ")</t>
  </si>
  <si>
    <t>Лист ("CA15.02"), строка 19, столбец 4 &lt;&gt; Лист ("SI04.01"), строка 19, столбец 4 ) + Лист ("SI04.01"), строка 31, столбец 4 ) + Лист ("SI04.01"), строка 45, столбец 4 )  + Лист ("SI04.01"), строка 57, столбец 4 ) + Лист ("SI04.01"), строка 71, столбец 4 ) + Лист ("SI04.01"), строка 83, столбец 4 )  ("Пожалуйста, проверьте строку: 15.02.060 ")</t>
  </si>
  <si>
    <t>Лист ("CA15.03"), строка 7, столбец 4 &lt;&gt; Лист ("BA01.01"), строка 50, столбец 4 )  ("Пожалуйста, проверьте строку: 15.03.000 ")</t>
  </si>
  <si>
    <t>Лист ("CA15.03"), строка 13, столбец 4 &lt;&gt; Лист ("BA01.01"), строка 20, столбец 4 ) + Лист ("BA01.01"), строка 32, столбец 4 )  ("Пожалуйста, проверьте строку: 15.03.030 ")</t>
  </si>
  <si>
    <t>Лист ("CA15.03"), строка 15, столбец 4 &lt;&gt; Лист ("BA01.01"), строка 77, столбец 4 ) - Лист ("BA01.01"), строка 84, столбец 4 )  ("Пожалуйста, проверьте строку: 15.03.040 ")</t>
  </si>
  <si>
    <t>Лист ("CA15.03"), строка 16, столбец 4 &lt;&gt; Лист ("BA01.01"), строка 86, столбец 4 ) + Лист ("BA01.01"), строка 96, столбец 4 ) - Лист ("BA01.01"), строка 90, столбец 4 )  ("Пожалуйста, проверьте строку: 15.03.045 ")</t>
  </si>
  <si>
    <t>Лист ("CA15.03"), строка 26, столбец 4 &lt;&gt; Лист ("BA01.01"), строка 61, столбец 4 )  ("Пожалуйста, проверьте строку: 15.03.090 ")</t>
  </si>
  <si>
    <t>Лист ("CA15.05"), строка 21, столбец 4 &lt;&gt; Лист ("BA01.01"), строка 84, столбец 4 )  ("Пожалуйста, проверьте строку: 15.05.065 ")</t>
  </si>
  <si>
    <t>Лист ("CA15.05"), строка 26, столбец 4 &gt; Лист ("BC01.03"), строка 21, столбец 4 )  ("Пожалуйста, проверьте строку: 15.05.080 ")</t>
  </si>
  <si>
    <t>Лист ("CA15.05"), строка 27, столбец 4 &lt;&gt; Лист ("BC01.03"), строка 19, столбец 4 )  ("Пожалуйста, проверьте строку: 15.05.095 ")</t>
  </si>
  <si>
    <t>Лист ("CA15.05"), строка 28, столбец 4 &gt; Лист ("BC01.03"), строка 20, столбец 4 )  ("Пожалуйста, проверьте строку: 15.05.100 ")</t>
  </si>
  <si>
    <t>Лист ("CA15.05"), строка 29, столбец 4 &gt; Лист ("BC01.03"), строка 21, столбец 4 ) - Лист ("CA15.05"), строка 26, столбец 4 )  ("Пожалуйста, проверьте строку: 15.05.105 ")</t>
  </si>
  <si>
    <t>Лист ("CA15.05"), строка 32, столбец 4 &gt; Лист ("BC01.03"), строка 22, столбец 4 )  ("Пожалуйста, проверьте строку: 15.05.110 ")</t>
  </si>
  <si>
    <t>Лист ("CA15.05"), строка 34, столбец 4 &lt;&gt; Лист ("SI04.01"), строка 27, столбец 4 ) + Лист ("SI04.01"), строка 28, столбец 4 ) + Лист ("SI04.01"), строка 29, столбец 4 )  + Лист ("SI04.01"), строка 53, столбец 4 ) + Лист ("SI04.01"), строка 54, столбец 4 ) + Лист ("SI04.01"), строка 55, столбец 4 )  + Лист ("SI04.01"), строка 79, столбец 4 ) + Лист ("SI04.01"), строка 80, столбец 4 ) + Лист ("SI04.01"), строка 81, столбец 4 )  ("Пожалуйста, проверьте строку: 15.05.120 ")</t>
  </si>
  <si>
    <t>Лист ("DI18.01"), строка 8, столбец 4 &lt; Лист ("BB01.05"), строка 24, столбец 4 )  ("Пожалуйста, проверьте строку: 18.01.005 ")</t>
  </si>
  <si>
    <t>Лист ("MI17.01"), строка 175, столбец 4 &lt;&gt; Лист ("DA13.03"), строка 12, столбец 9 ) + Лист ("DA13.03"), строка 15, столбец 9 ) + Лист ("DA13.03"), строка 19, столбец 9 )  + Лист ("DA13.03"), строка 22, столбец 9 ) + Лист ("DA13.03"), строка 32, столбец 9 ) + Лист ("DA13.03"), строка 35, столбец 9 )  + Лист ("DA13.03"), строка 39, столбец 9 ) + Лист ("DA13.03"), строка 42, столбец 9 )  ("Пожалуйста, проверьте строку: 17.01.450 ")</t>
  </si>
  <si>
    <t>Лист ("MI17.01"), строка 173, столбец 4 &lt;&gt; Лист ("DA13.01"), строка 12, столбец 9 ) + Лист ("DA13.01"), строка 15, столбец 9 ) + Лист ("DA13.01"), строка 19, столбец 9 )  + Лист ("DA13.01"), строка 22, столбец 9 ) + Лист ("DA13.01"), строка 32, столбец 9 ) + Лист ("DA13.01"), строка 35, столбец 9 )  + Лист ("DA13.01"), строка 39, столбец 9 ) + Лист ("DA13.01"), строка 42, столбец 9 ) + Лист ("DA13.03"), строка 12, столбец 9 ) + Лист ("DA13.03"), строка 15, столбец 9 ) + Лист ("DA13.03"), строка 19, столбец 9 )  + Лист ("DA13.03"), строка 22, столбец 9 ) + Лист ("DA13.03"), строка 32, столбец 9 ) + Лист ("DA13.03"), строка 35, столбец 9 )  + Лист ("DA13.03"), строка 39, столбец 9 ) + Лист ("DA13.03"), строка 42, столбец 9 ) + Лист ("DA13.05"), строка 12, столбец 9 ) + Лист ("DA13.05"), строка 15, столбец 9 ) + Лист ("DA13.05"), строка 19, столбец 9 )  + Лист ("DA13.05"), строка 22, столбец 9 ) + Лист ("DA13.05"), строка 32, столбец 9 ) + Лист ("DA13.05"), строка 35, столбец 9 )  + Лист ("DA13.05"), строка 39, столбец 9 ) + Лист ("DA13.05"), строка 42, столбец 9 )  ("Пожалуйста, проверьте строку: 17.01.440 ")</t>
  </si>
  <si>
    <t>Лист ("MI17.01"), строка 174, столбец 4 &lt;&gt; Лист ("DA13.01"), строка 32, столбец 9 ) + Лист ("DA13.01"), строка 35, столбец 9 ) + Лист ("DA13.01"), строка 39, столбец 9 ) + Лист ("DA13.01"), строка 42, столбец 9 ) + Лист ("DA13.03"), строка 32, столбец 9 ) + Лист ("DA13.03"), строка 35, столбец 9 ) + Лист ("DA13.03"), строка 39, столбец 9 ) + Лист ("DA13.03"), строка 42, столбец 9 ) + Лист ("DA13.05"), строка 32, столбец 9 ) + Лист ("DA13.05"), строка 35, столбец 9 ) + Лист ("DA13.05"), строка 39, столбец 9 ) + Лист ("DA13.05"), строка 42, столбец 9 )  ("Пожалуйста, проверьте строку: 17.01.445 ")</t>
  </si>
  <si>
    <t>Лист ("MI17.01"), строка 176, столбец 4 &lt;&gt; Лист ("DA13.03"), строка 32, столбец 9 ) + Лист ("DA13.03"), строка 35, столбец 9 )  + Лист ("DA13.03"), строка 39, столбец 9 ) + Лист ("DA13.03"), строка 42, столбец 9 )  ("Пожалуйста, проверьте строку: 17.01.455 ")</t>
  </si>
  <si>
    <r>
      <t xml:space="preserve">Лист </t>
    </r>
    <r>
      <rPr>
        <sz val="12"/>
        <color rgb="FFFF0000"/>
        <rFont val="Palatino Linotype"/>
        <family val="1"/>
      </rPr>
      <t>("BA01.01")</t>
    </r>
    <r>
      <rPr>
        <sz val="12"/>
        <rFont val="Palatino Linotype"/>
        <family val="1"/>
        <charset val="204"/>
      </rPr>
      <t xml:space="preserve">, строка 40, столбец 4 &lt;&gt; Лист </t>
    </r>
    <r>
      <rPr>
        <sz val="12"/>
        <color rgb="FFFF0000"/>
        <rFont val="Palatino Linotype"/>
        <family val="1"/>
      </rPr>
      <t>("SI04.01")</t>
    </r>
    <r>
      <rPr>
        <sz val="12"/>
        <rFont val="Palatino Linotype"/>
        <family val="1"/>
        <charset val="204"/>
      </rPr>
      <t xml:space="preserve">, строка 10, столбец 4 + Лист </t>
    </r>
    <r>
      <rPr>
        <sz val="12"/>
        <color rgb="FFFF0000"/>
        <rFont val="Palatino Linotype"/>
        <family val="1"/>
      </rPr>
      <t>("SI04.01")</t>
    </r>
    <r>
      <rPr>
        <sz val="12"/>
        <rFont val="Palatino Linotype"/>
        <family val="1"/>
        <charset val="204"/>
      </rPr>
      <t>, строка 36, столбец 4   ("Пожалуйста, проверьте строку: 01.01.115s ")</t>
    </r>
  </si>
  <si>
    <r>
      <t xml:space="preserve">Лист </t>
    </r>
    <r>
      <rPr>
        <sz val="12"/>
        <color rgb="FFFF0000"/>
        <rFont val="Palatino Linotype"/>
        <family val="1"/>
      </rPr>
      <t>("BA01.01")</t>
    </r>
    <r>
      <rPr>
        <sz val="12"/>
        <rFont val="Palatino Linotype"/>
        <family val="1"/>
        <charset val="204"/>
      </rPr>
      <t xml:space="preserve">, строка 41, столбец 5 &lt;&gt; Лист </t>
    </r>
    <r>
      <rPr>
        <sz val="12"/>
        <color rgb="FFFF0000"/>
        <rFont val="Palatino Linotype"/>
        <family val="1"/>
      </rPr>
      <t>("SI04.01")</t>
    </r>
    <r>
      <rPr>
        <sz val="12"/>
        <rFont val="Palatino Linotype"/>
        <family val="1"/>
        <charset val="204"/>
      </rPr>
      <t xml:space="preserve">, строка 20, столбец 5 + Лист </t>
    </r>
    <r>
      <rPr>
        <sz val="12"/>
        <color rgb="FFFF0000"/>
        <rFont val="Palatino Linotype"/>
        <family val="1"/>
      </rPr>
      <t>("SI04.01")</t>
    </r>
    <r>
      <rPr>
        <sz val="12"/>
        <rFont val="Palatino Linotype"/>
        <family val="1"/>
        <charset val="204"/>
      </rPr>
      <t xml:space="preserve">, строка 21, столбец 5 + Лист </t>
    </r>
    <r>
      <rPr>
        <sz val="12"/>
        <color rgb="FFFF0000"/>
        <rFont val="Palatino Linotype"/>
        <family val="1"/>
      </rPr>
      <t>("SI04.01")</t>
    </r>
    <r>
      <rPr>
        <sz val="12"/>
        <rFont val="Palatino Linotype"/>
        <family val="1"/>
        <charset val="204"/>
      </rPr>
      <t xml:space="preserve">, строка 27, столбец 5 + Лист ("SI04.01"), строка 28, столбец 5 + Лист </t>
    </r>
    <r>
      <rPr>
        <sz val="12"/>
        <color rgb="FFFF0000"/>
        <rFont val="Palatino Linotype"/>
        <family val="1"/>
      </rPr>
      <t>("SI04.01")</t>
    </r>
    <r>
      <rPr>
        <sz val="12"/>
        <rFont val="Palatino Linotype"/>
        <family val="1"/>
        <charset val="204"/>
      </rPr>
      <t>, строка 46, столбец 5 + Лист</t>
    </r>
    <r>
      <rPr>
        <sz val="12"/>
        <color rgb="FFFF0000"/>
        <rFont val="Palatino Linotype"/>
        <family val="1"/>
      </rPr>
      <t xml:space="preserve"> ("SI04.01")</t>
    </r>
    <r>
      <rPr>
        <sz val="12"/>
        <rFont val="Palatino Linotype"/>
        <family val="1"/>
        <charset val="204"/>
      </rPr>
      <t>, строка 47, столбец 5 + Лист</t>
    </r>
    <r>
      <rPr>
        <sz val="12"/>
        <color rgb="FFFF0000"/>
        <rFont val="Palatino Linotype"/>
        <family val="1"/>
      </rPr>
      <t xml:space="preserve"> ("SI04.01")</t>
    </r>
    <r>
      <rPr>
        <sz val="12"/>
        <rFont val="Palatino Linotype"/>
        <family val="1"/>
        <charset val="204"/>
      </rPr>
      <t xml:space="preserve">, строка 53, столбец 5 + Лист </t>
    </r>
    <r>
      <rPr>
        <sz val="12"/>
        <color rgb="FFFF0000"/>
        <rFont val="Palatino Linotype"/>
        <family val="1"/>
      </rPr>
      <t>("SI04.01")</t>
    </r>
    <r>
      <rPr>
        <sz val="12"/>
        <rFont val="Palatino Linotype"/>
        <family val="1"/>
        <charset val="204"/>
      </rPr>
      <t>, строка 54, столбец 5  ("Пожалуйста, проверьте строку: 01.01.120f ")</t>
    </r>
  </si>
  <si>
    <t xml:space="preserve"> =CA06.02!18E= OA05.02!18D - BA01.01!63E</t>
  </si>
  <si>
    <t>D</t>
  </si>
  <si>
    <t>E</t>
  </si>
  <si>
    <t>F</t>
  </si>
  <si>
    <t>G</t>
  </si>
  <si>
    <t>H</t>
  </si>
  <si>
    <t>I</t>
  </si>
  <si>
    <t>J</t>
  </si>
  <si>
    <t>K</t>
  </si>
  <si>
    <t>L</t>
  </si>
  <si>
    <t>M</t>
  </si>
  <si>
    <t>N</t>
  </si>
  <si>
    <t>O</t>
  </si>
  <si>
    <t>P</t>
  </si>
  <si>
    <t>Q</t>
  </si>
  <si>
    <t>R</t>
  </si>
  <si>
    <t>S</t>
  </si>
  <si>
    <t>U</t>
  </si>
  <si>
    <t>V</t>
  </si>
  <si>
    <t>W</t>
  </si>
  <si>
    <t>X</t>
  </si>
  <si>
    <t>Y</t>
  </si>
  <si>
    <t>Z</t>
  </si>
  <si>
    <t>Лист ("BA01.01"), строка 14, столбец 4 &lt;&gt; Лист ("CA15.01"), строка 16, столбец 4 + Лист ("CA15.01"), строка 17, столбец 4 + Лист ("CA15.01"), строка 18, столбец 4  ("Пожалуйста, проверьте строку: 01.01.035s ")</t>
  </si>
  <si>
    <t>Сверка значений таблиц</t>
  </si>
  <si>
    <t>Меъёри ҳадди ниҳоии пасандозҳо ва амонатҳои ҷалбшаванда</t>
  </si>
  <si>
    <t>K6.</t>
  </si>
  <si>
    <t>Бақияи ҳисобҳои пасандози
Сармояи танзимшаванда</t>
  </si>
  <si>
    <t>V0.010719</t>
  </si>
  <si>
    <t>Ғ</t>
  </si>
  <si>
    <t>28.05.2014</t>
  </si>
  <si>
    <t>0,00% - 0,00%</t>
  </si>
  <si>
    <t>Лист ("BA01.01"), строка 97, столбец 4 &lt;&gt; Лист ("BC01.03"), строка 26, столбец 4  ("Пожалуйста, проверьте строку: 01.01.325s ")</t>
  </si>
  <si>
    <t>Лист ("BA01.01"), строка 97, столбец 5 &gt; Лист ("BA01.01"), строка 97, столбец 4  ("Пожалуйста, проверьте строку: 01.01.325f (итоги в ин. валюте превышают итоги в сомони)")</t>
  </si>
  <si>
    <t>Лист ("BL01.02"), строка 47, столбец 5 &gt; Лист ("BL01.02"), строка 47, столбец 4  ("Пожалуйста, проверьте строку: 01.02.165f (итоги в ин. валюте превышают итоги в сомони)")</t>
  </si>
  <si>
    <t>Лист ("BC01.03"), строка 25, столбец 5 &gt; Лист ("BC01.03"), строка 25, столбец 4  ("Пожалуйста, проверьте строку: 01.03.115f (итоги в ин. валюте превышают итоги в сомони)")</t>
  </si>
  <si>
    <t>Лист ("BO01.04"), строка 7, столбец 5 &gt; Лист ("BO01.04"), строка 7, столбец 4  ("Пожалуйста, проверьте строку: 01.04.000f (итоги в ин. валюте превышают итоги в сомони)")</t>
  </si>
  <si>
    <t>Лист ("BB01.05"), строка 7, столбец 5 &gt; Лист ("BB01.05"), строка 7, столбец 4  ("Пожалуйста, проверьте строку: 01.05.000f (итоги в ин. валюте превышают итоги в сомони)")</t>
  </si>
  <si>
    <t>Лист ("BB01.05"), строка 22, столбец 5 &gt; Лист ("BB01.05"), строка 22, столбец 4  ("Пожалуйста, проверьте строку: 01.05.070f (итоги в ин. валюте превышают итоги в сомони)")</t>
  </si>
  <si>
    <t>Лист ("CC03.01"), строка 15, столбец 4 &lt;&gt; Лист ("DI18.01"), строка 10, столбец 4  ("Пожалуйста, проверьте строку: 03.01.040 (сверьте с DI18.01) ")</t>
  </si>
  <si>
    <t>Лист ("CC03.01"), строка 16, столбец 4 &lt;&gt; Лист ("DI18.01"), строка 11, столбец 4  ("Пожалуйста, проверьте строку: 03.01.045 (сверьте с DI18.01) ")</t>
  </si>
  <si>
    <t>Лист ("CC03.01"), строка 17, столбец 4 &lt;&gt; Лист ("DI18.01"), строка 12, столбец 4  ("Пожалуйста, проверьте строку: 03.01.050 (сверьте с DI18.01) ")</t>
  </si>
  <si>
    <t>Лист ("CC03.01"), строка 18, столбец 4 &lt;&gt; Лист ("DI18.01"), строка 13, столбец 4  ("Пожалуйста, проверьте строку: 03.01.055 (сверьте с DI18.01) ")</t>
  </si>
  <si>
    <t>Лист ("СС03.01"), строка 27, столбец 4 &lt;&gt; Лист ("BC01.03"), строка 25, столбец 4  ("Пожалуйста, проверьте строку: 03.01.100s ")</t>
  </si>
  <si>
    <t>Лист ("SI04.01"), строка 7, столбец 5 &gt; Лист ("SI04.01"), строка 7, столбец 4 ("Пожалуйста, проверьте строку: 04.01.000f (итоги в ин. валюте превышают итоги в сомони)")</t>
  </si>
  <si>
    <t>Лист ("OA05.01"), строка 8, столбец 6 &gt; Лист ("OA05.01"), строка 8, столбец 5 )  ("Пожалуйста, проверьте строку: 05.01.000RA (частное превышает общее)")</t>
  </si>
  <si>
    <t>Лист ("OA05.01"), строка 28, столбец 5 &gt; Лист ("OA05.01"), строка 28, столбец 4 )  ("Пожалуйста, проверьте строку: 05.01.055CA (текущее превышает общий итог)")</t>
  </si>
  <si>
    <t>Лист ("OA05.02"), строка 8, столбец 6 &gt; Лист ("OA05.02"), строка 8, столбец 5 )  ("Пожалуйста, проверьте строку: 05.02.000RA (частное превышает общее)")</t>
  </si>
  <si>
    <t>Лист ("OA05.02"), строка 28, столбец 5 &gt; Лист ("OA05.02"), строка 28, столбец 4 )  ("Пожалуйста, проверьте строку: 05.02.055CA (текущее превышает общий итог)")</t>
  </si>
  <si>
    <t>Лист ("CA06.01"), строка 8, столбец 4 ) &lt;&gt; Лист ("BA01.01"), строка 51, столбец 4 ) + Лист ("BA01.01"), строка 58, столбец 4 ) - Лист ("BA01.01"), строка 51, столбец 5 ) - Лист ("BA01.01"), строка 58, столбец 5 )  ("Пожалуйста, проверьте строку: 06.01.000T (сверьте с BA01.01)")</t>
  </si>
  <si>
    <t>Лист ("CA06.01"), строка 15, столбец 4 ) &lt;&gt; Лист ("BA01.01"), строка 59, столбец 4 ) + Лист ("BA01.01"), строка 60, столбец 4 ) - Лист ("BA01.01"), строка 59, столбец 5 ) - Лист ("BA01.01"), строка 60, столбец 5 )  ("Пожалуйста, проверьте строку: 06.01.030T (сверьте с BA01.01)")</t>
  </si>
  <si>
    <t>Лист ("CA06.01"), строка 16, столбец 4 ) &lt;&gt; Лист ("BA01.01"), строка 61, столбец 4 ) + Лист ("BA01.01"), строка 68, столбец 4 ) - Лист ("BA01.01"), строка 61, столбец 5 ) - Лист ("BA01.01"), строка 68, столбец 5 )  ("Пожалуйста, проверьте строку: 06.01.031T (сверьте с BA01.01")</t>
  </si>
  <si>
    <t>Лист ("CA06.01"), строка 24, столбец 5 &lt;&gt; Лист (Лист ("OA05.01"), строка 24, столбец 4 ) - Лист ("BA01.01"), строка 17, столбец 4 ) - Лист ("BA01.01"), строка 29, столбец 4 ) + Лист ("BA01.01"), строка 17, столбец 5 ) + Лист ("BA01.01"), строка 29, столбец 5 )  ("Пожалуйста, проверьте строку: 06.01.040AT ")</t>
  </si>
  <si>
    <t>Лист ("CA06.01"), строка 25, столбец 5 &lt;&gt; Лист (Лист ("OA05.01"), строка 25, столбец 4 ) - Лист ("BA01.01"), строка 22, столбец 4 ) - Лист ("BA01.01"), строка 34, столбец 4 ) + Лист ("BA01.01"), строка 22, столбец 5 ) + Лист ("BA01.01"), строка 34, столбец 5 )  ("Пожалуйста, проверьте строку: 06.01.045AT ")</t>
  </si>
  <si>
    <t>Лист ("CA06.01"), строка 26, столбец 5 &lt;&gt; Лист (Лист ("OA05.01"), строка 26, столбец 4 ) - Лист ("BA01.01"), строка 23, столбец 4 ) - Лист ("BA01.01"), строка 35, столбец 4 ) + Лист ("BA01.01"), строка 23, столбец 5 ) + Лист ("BA01.01"), строка 35, столбец 5 )  ("Пожалуйста, проверьте строку: 06.01.046AT ")</t>
  </si>
  <si>
    <t>Лист ("CA06.02"), строка 8, столбец 4 ) &lt;&gt; Лист ("BA01.01"), строка 51, столбец 5 ) + Лист ("BA01.01"), строка 58, столбец 5 )  ("Пожалуйста, проверьте строку: 06.02.000T (сверьте с BA01.01)")</t>
  </si>
  <si>
    <t>Лист ("CA06.02"), строка 15, столбец 4 ) &lt;&gt; Лист ("BA01.01"), строка 59, столбец 5 ) + Лист ("BA01.01"), строка 60, столбец 5 )  ("Пожалуйста, проверьте строку: 06.02.030T (сверьте с BA01.01)")</t>
  </si>
  <si>
    <t>Лист ("CA06.02"), строка 16, столбец 4 ) &lt;&gt; Лист ("BA01.01"), строка 61, столбец 5 ) + Лист ("BA01.01"), строка 68, столбец 5 )  ("Пожалуйста, проверьте строку: 06.02.031T (сверьте с BA01.01)")</t>
  </si>
  <si>
    <t>Лист ("CA15.03"), строка 27, столбец 4 &lt;&gt; Лист ("BA01.01"), строка 61, столбец 4 )  ("Пожалуйста, проверьте строку: 15.03.090 ")</t>
  </si>
  <si>
    <t>Лист ("CA15.05"), строка 20, столбец 4 &lt;&gt; Лист ("BA01.01"), строка 84, столбец 4 )  ("Пожалуйста, проверьте строку: 15.05.065 ")</t>
  </si>
  <si>
    <t>Лист ("CA15.05"), строка 27, столбец 4 &gt; Лист ("BC01.03"), строка 23, столбец 4 )  ("Пожалуйста, проверьте строку: 15.05.080 ")</t>
  </si>
  <si>
    <t>Лист ("CA15.05"), строка 28, столбец 4 &lt;&gt; Лист ("BC01.03"), строка 19, столбец 4 )  ("Пожалуйста, проверьте строку: 15.05.095 ")</t>
  </si>
  <si>
    <t>Лист ("CA15.05"), строка 29, столбец 4 &gt; Лист ("BC01.03"), строка 22, столбец 4 )  ("Пожалуйста, проверьте строку: 15.05.100 ")</t>
  </si>
  <si>
    <t>Лист ("CA15.05"), строка 30, столбец 4 &gt; Лист ("BC01.03"), строка 23, столбец 4 ) - Лист ("CA15.05"), строка 27, столбец 4 )  ("Пожалуйста, проверьте строку: 15.05.105 ")</t>
  </si>
  <si>
    <t>Лист ("CA15.05"), строка 33, столбец 4 &gt; Лист ("BC01.03"), строка 24, столбец 4 )  ("Пожалуйста, проверьте строку: 15.05.110 ")</t>
  </si>
  <si>
    <t>Лист ("CA15.05"), строка 35, столбец 4 &lt;&gt; Лист ("SI04.01"), строка 27, столбец 4 ) + Лист ("SI04.01"), строка 28, столбец 4 ) + Лист ("SI04.01"), строка 29, столбец 4 )  + Лист ("SI04.01"), строка 53, столбец 4 ) + Лист ("SI04.01"), строка 54, столбец 4 ) + Лист ("SI04.01"), строка 55, столбец 4 )  + Лист ("SI04.01"), строка 79, столбец 4 ) + Лист ("SI04.01"), строка 80, столбец 4 ) + Лист ("SI04.01"), строка 81, столбец 4 )  ("Пожалуйста, проверьте строку: 15.05.120 ")</t>
  </si>
  <si>
    <t>Лист ("DI18.01"), строка 7, столбец 4 &lt;&gt; Лист ("BC01.03"), строка 12, столбец 4)  ("Пожалуйста, проверьте строку: 18.01.000 (сверьте с BC01.03) ")</t>
  </si>
  <si>
    <t>Лист ("BB21.01"), строка 10, столбец 9 &lt;&gt; Лист ("BA01.01"), строка 16, столбец 4 ) + Лист ("BA01.01"), строка 17, столбец 4 ) + Лист ("BA01.01"), строка 22, столбец 4 ) + Лист ("BA01.01"), строка 23, столбец 4 ) + Лист ("BA01.01"), строка 28, столбец 4 ) + Лист ("BA01.01"), строка 29, столбец 4 ) + Лист ("BA01.01"), строка 34, столбец 4 ) + Лист ("BA01.01"), строка 35, столбец 4 )  ("Пожалуйста, проверьте строку: 21.01.030T (сверьте с BA01.01)")</t>
  </si>
  <si>
    <t>Лист ("LB21.02"), строка 10, столбец 9 &lt;&gt; Лист ("BL01.02"), строка 11, столбец 4 ) + Лист ("BL01.02"), строка 12, столбец 4 ) + Лист ("BL01.02"), строка 15, столбец 4 ) + Лист ("BL01.02"), строка 16, столбец 4 ) + Лист ("BL01.02"), строка 19, столбец 4 ) + Лист ("BL01.02"), строка 20, столбец 4 ) + Лист ("BL01.02"), строка 23, столбец 4 ) + Лист ("BL01.02"), строка 24, столбец 4 )  ("Пожалуйста, проверьте строку: 21.02.030T (сверьте с BL01.02)")</t>
  </si>
  <si>
    <t>Лист ("CA06.01"), строка 28, столбец 4 &lt;&gt; Лист ("OA05.01"), строка 28, столбец 4 )  ("Пожалуйста, проверьте строку: 06.01.055T ")</t>
  </si>
  <si>
    <t>ABS(BA01.01!E97+BA01.01!E85+BA01.01!E82+BA01.01!E76+BA01.01!E75+BA01.01!E68+BA01.01!E60+BA01.01!E58+BA01.01!E46+BA01.01!E45+BA01.01!E37+BA01.01!E31+BA01.01!E25+BA01.01!E19+BB01.05!E18-BL01.02!E47-BC01.03!E25-(СУММ(FX19.01!D11:D44)-СУММ(FX19.01!E11:E44)))&gt;8 ("Пожалуйста, проверьте таблицу 19.01. (разница больще допустимой, сверьте с балансом) ")</t>
  </si>
  <si>
    <t>ABS(BO01.04!E9+BO01.04!E10+BO01.04!E11-BO01.04!E12-BO01.04!E14-BO01.04!E15-BO01.04!E16+BO01.04!E18+BO01.04!E19+BO01.04!D21-BO01.04!D22+BO01.04!E24+BO01.04!E28-BO01.04!E29+BO01.04!E31-BO01.04!E32+BO01.04!E34-BO01.04!E35-(СУММ(FX19.01!F11:F44)-СУММ(FX19.01!G11:G44)))&gt;8 ("Пожалуйста, проверьте таблицу 19.01. ((разница больще допустимой, сверьте с BO01.04) ")</t>
  </si>
  <si>
    <t>А</t>
  </si>
  <si>
    <t>а</t>
  </si>
</sst>
</file>

<file path=xl/styles.xml><?xml version="1.0" encoding="utf-8"?>
<styleSheet xmlns="http://schemas.openxmlformats.org/spreadsheetml/2006/main">
  <numFmts count="5">
    <numFmt numFmtId="164" formatCode="d\,\ m\,\ yy"/>
    <numFmt numFmtId="165" formatCode="\п\о\ \с\о\с\т\о\я\н\и\ю\ \н\а\ \ \«dd\»\ mm\ yyyy\ \г\о\д\а"/>
    <numFmt numFmtId="166" formatCode="0.0"/>
    <numFmt numFmtId="167" formatCode="#,##0.0"/>
    <numFmt numFmtId="168" formatCode="dd/mm/yy"/>
  </numFmts>
  <fonts count="58">
    <font>
      <sz val="10"/>
      <name val="Arial Cyr"/>
      <charset val="204"/>
    </font>
    <font>
      <sz val="10"/>
      <name val="Arial Cyr"/>
      <family val="2"/>
      <charset val="204"/>
    </font>
    <font>
      <u/>
      <sz val="10"/>
      <color indexed="12"/>
      <name val="Arial"/>
      <family val="2"/>
      <charset val="204"/>
    </font>
    <font>
      <sz val="10"/>
      <name val="Arial"/>
      <family val="2"/>
      <charset val="204"/>
    </font>
    <font>
      <b/>
      <sz val="12"/>
      <name val="Times New Roman"/>
      <family val="1"/>
    </font>
    <font>
      <sz val="12"/>
      <name val="Times New Roman"/>
      <family val="1"/>
    </font>
    <font>
      <b/>
      <sz val="12"/>
      <name val="Times New Roman"/>
      <family val="1"/>
      <charset val="204"/>
    </font>
    <font>
      <sz val="10"/>
      <name val="Arial"/>
      <family val="2"/>
      <charset val="204"/>
    </font>
    <font>
      <sz val="10"/>
      <name val="Arial Cyr"/>
      <family val="2"/>
      <charset val="204"/>
    </font>
    <font>
      <sz val="10"/>
      <name val="Arial Narrow"/>
      <family val="2"/>
    </font>
    <font>
      <sz val="8"/>
      <name val="Courier New"/>
      <family val="3"/>
    </font>
    <font>
      <sz val="10"/>
      <name val="Times New Roman Tj"/>
      <family val="1"/>
      <charset val="204"/>
    </font>
    <font>
      <b/>
      <sz val="12"/>
      <color indexed="9"/>
      <name val="Times New Roman"/>
      <family val="1"/>
    </font>
    <font>
      <sz val="12"/>
      <name val="Palatino Linotype"/>
      <family val="1"/>
      <charset val="204"/>
    </font>
    <font>
      <b/>
      <sz val="12"/>
      <name val="Palatino Linotype"/>
      <family val="1"/>
      <charset val="204"/>
    </font>
    <font>
      <i/>
      <sz val="12"/>
      <name val="Palatino Linotype"/>
      <family val="1"/>
      <charset val="204"/>
    </font>
    <font>
      <sz val="10"/>
      <name val="Palatino Linotype"/>
      <family val="1"/>
      <charset val="204"/>
    </font>
    <font>
      <b/>
      <sz val="10"/>
      <name val="Palatino Linotype"/>
      <family val="1"/>
      <charset val="204"/>
    </font>
    <font>
      <b/>
      <sz val="14"/>
      <name val="Palatino Linotype"/>
      <family val="1"/>
      <charset val="204"/>
    </font>
    <font>
      <sz val="11"/>
      <name val="Palatino Linotype"/>
      <family val="1"/>
      <charset val="204"/>
    </font>
    <font>
      <b/>
      <sz val="11"/>
      <name val="Palatino Linotype"/>
      <family val="1"/>
      <charset val="204"/>
    </font>
    <font>
      <b/>
      <i/>
      <sz val="12"/>
      <name val="Palatino Linotype"/>
      <family val="1"/>
      <charset val="204"/>
    </font>
    <font>
      <i/>
      <sz val="11"/>
      <name val="Palatino Linotype"/>
      <family val="1"/>
      <charset val="204"/>
    </font>
    <font>
      <i/>
      <sz val="10"/>
      <name val="Palatino Linotype"/>
      <family val="1"/>
      <charset val="204"/>
    </font>
    <font>
      <b/>
      <sz val="12"/>
      <color indexed="9"/>
      <name val="Palatino Linotype"/>
      <family val="1"/>
      <charset val="204"/>
    </font>
    <font>
      <u/>
      <sz val="12"/>
      <name val="Palatino Linotype"/>
      <family val="1"/>
      <charset val="204"/>
    </font>
    <font>
      <b/>
      <i/>
      <u/>
      <sz val="12"/>
      <name val="Palatino Linotype"/>
      <family val="1"/>
      <charset val="204"/>
    </font>
    <font>
      <sz val="12"/>
      <color indexed="8"/>
      <name val="Palatino Linotype"/>
      <family val="1"/>
      <charset val="204"/>
    </font>
    <font>
      <b/>
      <sz val="12"/>
      <color indexed="8"/>
      <name val="Palatino Linotype"/>
      <family val="1"/>
      <charset val="204"/>
    </font>
    <font>
      <i/>
      <sz val="12"/>
      <color indexed="8"/>
      <name val="Palatino Linotype"/>
      <family val="1"/>
      <charset val="204"/>
    </font>
    <font>
      <sz val="8"/>
      <name val="Palatino Linotype"/>
      <family val="1"/>
      <charset val="204"/>
    </font>
    <font>
      <sz val="12"/>
      <name val="Times New Roman Tj"/>
      <family val="1"/>
      <charset val="204"/>
    </font>
    <font>
      <sz val="12"/>
      <name val="Times New Roman TAJIK"/>
      <family val="1"/>
      <charset val="204"/>
    </font>
    <font>
      <sz val="12"/>
      <color indexed="9"/>
      <name val="Palatino Linotype"/>
      <family val="1"/>
      <charset val="204"/>
    </font>
    <font>
      <sz val="8"/>
      <name val="Arial Cyr"/>
      <family val="2"/>
      <charset val="204"/>
    </font>
    <font>
      <sz val="10"/>
      <name val="Arial"/>
      <family val="2"/>
    </font>
    <font>
      <sz val="12"/>
      <name val="Palatino Linotype"/>
      <family val="1"/>
      <charset val="204"/>
    </font>
    <font>
      <sz val="12"/>
      <name val="Palatino Linotype"/>
      <family val="1"/>
    </font>
    <font>
      <b/>
      <sz val="12"/>
      <name val="Palatino Linotype"/>
      <family val="1"/>
    </font>
    <font>
      <sz val="8"/>
      <name val="Palatino Linotype"/>
      <family val="1"/>
    </font>
    <font>
      <b/>
      <sz val="8"/>
      <name val="Palatino Linotype"/>
      <family val="1"/>
      <charset val="204"/>
    </font>
    <font>
      <sz val="12"/>
      <color theme="1"/>
      <name val="Palatino Linotype"/>
      <family val="1"/>
      <charset val="204"/>
    </font>
    <font>
      <sz val="9"/>
      <color theme="0"/>
      <name val="Palatino Linotype"/>
      <family val="1"/>
      <charset val="204"/>
    </font>
    <font>
      <b/>
      <sz val="12"/>
      <color rgb="FFFF0000"/>
      <name val="Palatino Linotype"/>
      <family val="1"/>
      <charset val="204"/>
    </font>
    <font>
      <sz val="10"/>
      <color rgb="FFFF0000"/>
      <name val="Palatino Linotype"/>
      <family val="1"/>
      <charset val="204"/>
    </font>
    <font>
      <b/>
      <sz val="12"/>
      <color theme="1"/>
      <name val="Palatino Linotype"/>
      <family val="1"/>
      <charset val="204"/>
    </font>
    <font>
      <sz val="8"/>
      <color rgb="FFFF0000"/>
      <name val="Palatino Linotype"/>
      <family val="1"/>
      <charset val="204"/>
    </font>
    <font>
      <sz val="12"/>
      <color rgb="FFFF0000"/>
      <name val="Palatino Linotype"/>
      <family val="1"/>
      <charset val="204"/>
    </font>
    <font>
      <sz val="8"/>
      <color theme="1"/>
      <name val="Palatino Linotype"/>
      <family val="1"/>
      <charset val="204"/>
    </font>
    <font>
      <b/>
      <sz val="16"/>
      <color theme="1"/>
      <name val="Palatino Linotype"/>
      <family val="1"/>
      <charset val="204"/>
    </font>
    <font>
      <sz val="12"/>
      <color rgb="FFFF0000"/>
      <name val="Palatino Linotype"/>
      <family val="1"/>
    </font>
    <font>
      <sz val="11"/>
      <color theme="1"/>
      <name val="Palatino Linotype"/>
      <family val="1"/>
      <charset val="204"/>
    </font>
    <font>
      <sz val="14"/>
      <name val="Arial Cyr"/>
      <family val="2"/>
      <charset val="204"/>
    </font>
    <font>
      <sz val="11"/>
      <color rgb="FF000000"/>
      <name val="Palatino Linotype"/>
      <family val="1"/>
      <charset val="204"/>
    </font>
    <font>
      <u/>
      <sz val="12"/>
      <color rgb="FFFF0000"/>
      <name val="Palatino Linotype"/>
      <family val="1"/>
      <charset val="204"/>
    </font>
    <font>
      <b/>
      <sz val="12"/>
      <name val="TAJIKAN"/>
    </font>
    <font>
      <b/>
      <sz val="12"/>
      <color rgb="FFD4F5C7"/>
      <name val="Palatino Linotype"/>
      <family val="1"/>
      <charset val="204"/>
    </font>
    <font>
      <sz val="12"/>
      <color theme="0"/>
      <name val="Palatino Linotype"/>
      <family val="1"/>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9"/>
        <bgColor indexed="9"/>
      </patternFill>
    </fill>
    <fill>
      <patternFill patternType="solid">
        <fgColor indexed="42"/>
        <bgColor indexed="9"/>
      </patternFill>
    </fill>
    <fill>
      <patternFill patternType="solid">
        <fgColor theme="0"/>
        <bgColor indexed="64"/>
      </patternFill>
    </fill>
    <fill>
      <patternFill patternType="solid">
        <fgColor rgb="FFCC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9">
    <xf numFmtId="0" fontId="0" fillId="0" borderId="0"/>
    <xf numFmtId="0" fontId="7" fillId="0" borderId="0"/>
    <xf numFmtId="0" fontId="35" fillId="0" borderId="0"/>
    <xf numFmtId="0" fontId="2"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8" fillId="0" borderId="0"/>
    <xf numFmtId="9" fontId="1" fillId="0" borderId="0" applyFont="0" applyFill="0" applyBorder="0" applyAlignment="0" applyProtection="0"/>
    <xf numFmtId="0" fontId="3" fillId="0" borderId="0"/>
    <xf numFmtId="0" fontId="3" fillId="0" borderId="0"/>
  </cellStyleXfs>
  <cellXfs count="1297">
    <xf numFmtId="0" fontId="0" fillId="0" borderId="0" xfId="0"/>
    <xf numFmtId="0" fontId="9" fillId="0" borderId="0" xfId="0" applyFont="1"/>
    <xf numFmtId="0" fontId="10" fillId="0" borderId="0" xfId="0" applyFont="1"/>
    <xf numFmtId="0" fontId="11" fillId="0" borderId="0" xfId="0" applyFont="1"/>
    <xf numFmtId="0" fontId="13" fillId="0" borderId="1" xfId="5" applyFont="1" applyFill="1" applyBorder="1" applyProtection="1"/>
    <xf numFmtId="0" fontId="14" fillId="2" borderId="1" xfId="9" applyFont="1" applyFill="1" applyBorder="1" applyAlignment="1" applyProtection="1">
      <alignment horizontal="center" vertical="center"/>
    </xf>
    <xf numFmtId="0" fontId="14" fillId="2" borderId="1" xfId="5" applyFont="1" applyFill="1" applyBorder="1" applyAlignment="1" applyProtection="1">
      <alignment horizontal="center" vertical="center" wrapText="1"/>
    </xf>
    <xf numFmtId="0" fontId="13" fillId="2" borderId="1" xfId="5" applyFont="1" applyFill="1" applyBorder="1" applyAlignment="1" applyProtection="1">
      <alignment horizontal="left" vertical="top" wrapText="1"/>
    </xf>
    <xf numFmtId="0" fontId="13" fillId="2" borderId="1" xfId="9" applyFont="1" applyFill="1" applyBorder="1" applyAlignment="1" applyProtection="1">
      <alignment horizontal="left" vertical="top" wrapText="1" indent="2"/>
    </xf>
    <xf numFmtId="3" fontId="14" fillId="2" borderId="1" xfId="5" applyNumberFormat="1" applyFont="1" applyFill="1" applyBorder="1" applyAlignment="1" applyProtection="1">
      <alignment horizontal="right"/>
      <protection locked="0"/>
    </xf>
    <xf numFmtId="0" fontId="13" fillId="0" borderId="1" xfId="5" applyFont="1" applyFill="1" applyBorder="1" applyAlignment="1" applyProtection="1">
      <alignment horizontal="left" vertical="top" wrapText="1"/>
    </xf>
    <xf numFmtId="0" fontId="14" fillId="2" borderId="1" xfId="9" applyFont="1" applyFill="1" applyBorder="1" applyAlignment="1" applyProtection="1">
      <alignment horizontal="left" vertical="top" wrapText="1"/>
    </xf>
    <xf numFmtId="3" fontId="14" fillId="3" borderId="1" xfId="5" applyNumberFormat="1" applyFont="1" applyFill="1" applyBorder="1" applyAlignment="1" applyProtection="1">
      <alignment horizontal="right"/>
    </xf>
    <xf numFmtId="0" fontId="15" fillId="2" borderId="1" xfId="9" applyFont="1" applyFill="1" applyBorder="1" applyAlignment="1" applyProtection="1">
      <alignment horizontal="left" vertical="top" wrapText="1" indent="2"/>
    </xf>
    <xf numFmtId="3" fontId="15" fillId="2" borderId="1" xfId="5" applyNumberFormat="1" applyFont="1" applyFill="1" applyBorder="1" applyAlignment="1" applyProtection="1">
      <alignment horizontal="right"/>
      <protection locked="0"/>
    </xf>
    <xf numFmtId="0" fontId="14" fillId="0" borderId="1" xfId="9" applyFont="1" applyFill="1" applyBorder="1" applyAlignment="1" applyProtection="1">
      <alignment vertical="top" wrapText="1"/>
    </xf>
    <xf numFmtId="0" fontId="15" fillId="0" borderId="1" xfId="9" applyFont="1" applyFill="1" applyBorder="1" applyAlignment="1" applyProtection="1">
      <alignment horizontal="left" vertical="top" wrapText="1" indent="2"/>
    </xf>
    <xf numFmtId="0" fontId="14" fillId="0" borderId="1" xfId="9" applyFont="1" applyFill="1" applyBorder="1" applyAlignment="1" applyProtection="1">
      <alignment horizontal="left" vertical="top" wrapText="1"/>
    </xf>
    <xf numFmtId="3" fontId="15" fillId="0" borderId="1" xfId="3" applyNumberFormat="1" applyFont="1" applyFill="1" applyBorder="1" applyAlignment="1" applyProtection="1">
      <alignment horizontal="right"/>
      <protection locked="0"/>
    </xf>
    <xf numFmtId="0" fontId="13" fillId="0" borderId="1" xfId="9" applyFont="1" applyFill="1" applyBorder="1" applyAlignment="1" applyProtection="1">
      <alignment horizontal="left" vertical="top" wrapText="1" indent="2"/>
    </xf>
    <xf numFmtId="3" fontId="14" fillId="3" borderId="1" xfId="3" applyNumberFormat="1" applyFont="1" applyFill="1" applyBorder="1" applyAlignment="1" applyProtection="1">
      <alignment horizontal="right"/>
    </xf>
    <xf numFmtId="0" fontId="13" fillId="0" borderId="1" xfId="11" applyFont="1" applyFill="1" applyBorder="1" applyAlignment="1" applyProtection="1">
      <alignment horizontal="left" vertical="top" wrapText="1" indent="2"/>
    </xf>
    <xf numFmtId="14" fontId="13" fillId="0" borderId="1" xfId="5" applyNumberFormat="1" applyFont="1" applyFill="1" applyBorder="1" applyAlignment="1" applyProtection="1">
      <alignment horizontal="left" vertical="top" wrapText="1"/>
    </xf>
    <xf numFmtId="0" fontId="14" fillId="2" borderId="0" xfId="44" applyFont="1" applyFill="1" applyAlignment="1" applyProtection="1">
      <alignment horizontal="center"/>
    </xf>
    <xf numFmtId="0" fontId="13" fillId="2" borderId="0" xfId="0" applyFont="1" applyFill="1"/>
    <xf numFmtId="0" fontId="14" fillId="2" borderId="0" xfId="44" applyFont="1" applyFill="1" applyProtection="1"/>
    <xf numFmtId="0" fontId="13" fillId="2" borderId="0" xfId="44" applyFont="1" applyFill="1" applyProtection="1"/>
    <xf numFmtId="0" fontId="13" fillId="2" borderId="0" xfId="44" applyFont="1" applyFill="1" applyAlignment="1" applyProtection="1">
      <alignment horizontal="center"/>
    </xf>
    <xf numFmtId="0" fontId="13" fillId="2" borderId="2" xfId="44" applyFont="1" applyFill="1" applyBorder="1" applyProtection="1"/>
    <xf numFmtId="0" fontId="13" fillId="2" borderId="0" xfId="44" applyFont="1" applyFill="1" applyBorder="1" applyProtection="1"/>
    <xf numFmtId="0" fontId="13" fillId="2" borderId="0" xfId="44" applyFont="1" applyFill="1" applyBorder="1" applyAlignment="1" applyProtection="1">
      <alignment horizontal="center"/>
      <protection locked="0"/>
    </xf>
    <xf numFmtId="0" fontId="14" fillId="2" borderId="0" xfId="44" applyFont="1" applyFill="1" applyAlignment="1" applyProtection="1">
      <alignment horizontal="left" vertical="top"/>
    </xf>
    <xf numFmtId="0" fontId="13" fillId="2" borderId="2" xfId="44" applyFont="1" applyFill="1" applyBorder="1" applyAlignment="1" applyProtection="1">
      <alignment horizontal="center"/>
      <protection locked="0"/>
    </xf>
    <xf numFmtId="0" fontId="13" fillId="2" borderId="3" xfId="44" applyFont="1" applyFill="1" applyBorder="1" applyAlignment="1" applyProtection="1">
      <alignment horizontal="center"/>
    </xf>
    <xf numFmtId="0" fontId="13" fillId="2" borderId="0" xfId="44" applyFont="1" applyFill="1" applyBorder="1" applyAlignment="1" applyProtection="1">
      <alignment horizontal="center"/>
    </xf>
    <xf numFmtId="0" fontId="14" fillId="2" borderId="0" xfId="44" applyFont="1" applyFill="1" applyBorder="1" applyAlignment="1" applyProtection="1">
      <alignment horizontal="left"/>
    </xf>
    <xf numFmtId="0" fontId="13" fillId="2" borderId="0" xfId="44" applyFont="1" applyFill="1" applyAlignment="1" applyProtection="1">
      <alignment horizontal="left"/>
    </xf>
    <xf numFmtId="0" fontId="13" fillId="2" borderId="0" xfId="44" applyFont="1" applyFill="1" applyAlignment="1" applyProtection="1">
      <alignment horizontal="right"/>
    </xf>
    <xf numFmtId="0" fontId="13" fillId="2" borderId="0" xfId="44" applyFont="1" applyFill="1" applyProtection="1">
      <protection hidden="1"/>
    </xf>
    <xf numFmtId="0" fontId="14" fillId="2" borderId="0" xfId="44" applyFont="1" applyFill="1" applyAlignment="1" applyProtection="1">
      <alignment horizontal="left"/>
    </xf>
    <xf numFmtId="0" fontId="14" fillId="2" borderId="0" xfId="44" applyFont="1" applyFill="1" applyAlignment="1" applyProtection="1">
      <alignment horizontal="center" vertical="center"/>
    </xf>
    <xf numFmtId="0" fontId="18" fillId="2" borderId="0" xfId="44" applyFont="1" applyFill="1" applyAlignment="1" applyProtection="1">
      <alignment horizontal="center" vertical="center"/>
    </xf>
    <xf numFmtId="0" fontId="14" fillId="2" borderId="0" xfId="44" applyFont="1" applyFill="1" applyAlignment="1" applyProtection="1">
      <alignment horizontal="center" vertical="center"/>
      <protection hidden="1"/>
    </xf>
    <xf numFmtId="0" fontId="13" fillId="2" borderId="0" xfId="44" applyFont="1" applyFill="1" applyBorder="1" applyProtection="1">
      <protection hidden="1"/>
    </xf>
    <xf numFmtId="0" fontId="14" fillId="2" borderId="0" xfId="0" applyFont="1" applyFill="1"/>
    <xf numFmtId="0" fontId="13" fillId="2" borderId="0" xfId="44" applyFont="1" applyFill="1" applyBorder="1" applyAlignment="1" applyProtection="1">
      <alignment horizontal="left"/>
    </xf>
    <xf numFmtId="0" fontId="14" fillId="2" borderId="2" xfId="44" applyFont="1" applyFill="1" applyBorder="1" applyAlignment="1" applyProtection="1">
      <alignment horizontal="left" vertical="top"/>
    </xf>
    <xf numFmtId="0" fontId="16" fillId="2" borderId="0" xfId="0" applyFont="1" applyFill="1"/>
    <xf numFmtId="0" fontId="14" fillId="2" borderId="0" xfId="44" applyFont="1" applyFill="1" applyAlignment="1" applyProtection="1"/>
    <xf numFmtId="0" fontId="14" fillId="2" borderId="0" xfId="44" applyFont="1" applyFill="1" applyAlignment="1" applyProtection="1">
      <alignment horizontal="right"/>
    </xf>
    <xf numFmtId="0" fontId="13" fillId="2" borderId="0" xfId="44" applyFont="1" applyFill="1" applyAlignment="1" applyProtection="1">
      <alignment wrapText="1"/>
    </xf>
    <xf numFmtId="0" fontId="13" fillId="2" borderId="0" xfId="44" applyFont="1" applyFill="1" applyAlignment="1" applyProtection="1">
      <alignment horizontal="left" wrapText="1" indent="1"/>
    </xf>
    <xf numFmtId="0" fontId="13" fillId="2" borderId="4" xfId="44" applyFont="1" applyFill="1" applyBorder="1" applyAlignment="1" applyProtection="1">
      <alignment wrapText="1"/>
    </xf>
    <xf numFmtId="0" fontId="13" fillId="2" borderId="0" xfId="44" applyFont="1" applyFill="1" applyBorder="1" applyAlignment="1" applyProtection="1">
      <alignment wrapText="1"/>
    </xf>
    <xf numFmtId="0" fontId="14" fillId="2" borderId="1" xfId="44" applyFont="1" applyFill="1" applyBorder="1" applyProtection="1"/>
    <xf numFmtId="0" fontId="13" fillId="2" borderId="1" xfId="44" applyFont="1" applyFill="1" applyBorder="1" applyProtection="1"/>
    <xf numFmtId="0" fontId="14" fillId="2" borderId="0" xfId="44" applyFont="1" applyFill="1" applyBorder="1" applyAlignment="1" applyProtection="1">
      <alignment horizontal="left" vertical="top"/>
    </xf>
    <xf numFmtId="0" fontId="13" fillId="2" borderId="1" xfId="6" applyFont="1" applyFill="1" applyBorder="1" applyAlignment="1" applyProtection="1">
      <alignment horizontal="left" vertical="top"/>
    </xf>
    <xf numFmtId="0" fontId="14" fillId="2" borderId="1" xfId="11" applyFont="1" applyFill="1" applyBorder="1" applyAlignment="1" applyProtection="1">
      <alignment horizontal="center" vertical="center"/>
    </xf>
    <xf numFmtId="0" fontId="13" fillId="2" borderId="1" xfId="6" applyFont="1" applyFill="1" applyBorder="1" applyAlignment="1" applyProtection="1">
      <alignment horizontal="left" vertical="top" wrapText="1"/>
    </xf>
    <xf numFmtId="3" fontId="14" fillId="2" borderId="1" xfId="6" applyNumberFormat="1" applyFont="1" applyFill="1" applyBorder="1" applyAlignment="1" applyProtection="1">
      <alignment horizontal="right"/>
      <protection locked="0"/>
    </xf>
    <xf numFmtId="0" fontId="14" fillId="0" borderId="1" xfId="11" applyFont="1" applyFill="1" applyBorder="1" applyAlignment="1" applyProtection="1">
      <alignment horizontal="left" vertical="top" wrapText="1"/>
    </xf>
    <xf numFmtId="3" fontId="14" fillId="3" borderId="1" xfId="6" applyNumberFormat="1" applyFont="1" applyFill="1" applyBorder="1" applyAlignment="1" applyProtection="1">
      <alignment horizontal="right"/>
    </xf>
    <xf numFmtId="0" fontId="13" fillId="2" borderId="1" xfId="11" applyFont="1" applyFill="1" applyBorder="1" applyAlignment="1" applyProtection="1">
      <alignment horizontal="left" vertical="top" wrapText="1" indent="2"/>
    </xf>
    <xf numFmtId="3" fontId="14" fillId="3" borderId="1" xfId="44" applyNumberFormat="1" applyFont="1" applyFill="1" applyBorder="1" applyAlignment="1" applyProtection="1">
      <alignment horizontal="right"/>
    </xf>
    <xf numFmtId="0" fontId="14" fillId="2" borderId="1" xfId="11" applyFont="1" applyFill="1" applyBorder="1" applyAlignment="1" applyProtection="1">
      <alignment horizontal="left" vertical="top" wrapText="1"/>
    </xf>
    <xf numFmtId="3" fontId="14" fillId="0" borderId="1" xfId="6" applyNumberFormat="1" applyFont="1" applyBorder="1" applyAlignment="1" applyProtection="1">
      <alignment horizontal="right"/>
      <protection locked="0"/>
    </xf>
    <xf numFmtId="0" fontId="13" fillId="0" borderId="1" xfId="6" applyFont="1" applyFill="1" applyBorder="1" applyAlignment="1" applyProtection="1">
      <alignment horizontal="left" vertical="top" wrapText="1"/>
    </xf>
    <xf numFmtId="0" fontId="13" fillId="2" borderId="0" xfId="6" applyFont="1" applyFill="1" applyAlignment="1" applyProtection="1">
      <alignment horizontal="left" vertical="top"/>
      <protection locked="0"/>
    </xf>
    <xf numFmtId="0" fontId="14" fillId="2" borderId="0" xfId="6" applyFont="1" applyFill="1" applyAlignment="1" applyProtection="1">
      <alignment horizontal="left" vertical="top"/>
      <protection locked="0"/>
    </xf>
    <xf numFmtId="0" fontId="13" fillId="0" borderId="0" xfId="0" applyFont="1" applyAlignment="1" applyProtection="1">
      <alignment horizontal="left" vertical="top"/>
      <protection locked="0"/>
    </xf>
    <xf numFmtId="0" fontId="14" fillId="2" borderId="0" xfId="6" applyFont="1" applyFill="1" applyAlignment="1" applyProtection="1">
      <alignment horizontal="left" vertical="top"/>
    </xf>
    <xf numFmtId="0" fontId="13" fillId="0" borderId="0" xfId="0" applyFont="1" applyAlignment="1">
      <alignment horizontal="left" vertical="top"/>
    </xf>
    <xf numFmtId="0" fontId="13" fillId="2" borderId="0" xfId="6" applyFont="1" applyFill="1" applyBorder="1" applyAlignment="1" applyProtection="1">
      <alignment horizontal="left" vertical="top"/>
      <protection locked="0"/>
    </xf>
    <xf numFmtId="0" fontId="13" fillId="0" borderId="1" xfId="7" applyFont="1" applyFill="1" applyBorder="1" applyProtection="1"/>
    <xf numFmtId="0" fontId="14" fillId="2" borderId="1" xfId="43" applyFont="1" applyFill="1" applyBorder="1" applyAlignment="1" applyProtection="1">
      <alignment horizontal="center" vertical="center"/>
    </xf>
    <xf numFmtId="0" fontId="13" fillId="0" borderId="1" xfId="7" applyFont="1" applyFill="1" applyBorder="1" applyAlignment="1" applyProtection="1">
      <alignment horizontal="left" vertical="top"/>
    </xf>
    <xf numFmtId="0" fontId="14" fillId="2" borderId="1" xfId="43" applyFont="1" applyFill="1" applyBorder="1" applyAlignment="1" applyProtection="1">
      <alignment horizontal="left" vertical="top"/>
    </xf>
    <xf numFmtId="3" fontId="14" fillId="3" borderId="1" xfId="43" applyNumberFormat="1" applyFont="1" applyFill="1" applyBorder="1" applyAlignment="1" applyProtection="1">
      <alignment horizontal="right"/>
    </xf>
    <xf numFmtId="0" fontId="13" fillId="2" borderId="1" xfId="43" applyFont="1" applyFill="1" applyBorder="1" applyAlignment="1" applyProtection="1">
      <alignment horizontal="left" vertical="top" indent="2"/>
    </xf>
    <xf numFmtId="3" fontId="14" fillId="2" borderId="1" xfId="43" applyNumberFormat="1" applyFont="1" applyFill="1" applyBorder="1" applyAlignment="1" applyProtection="1">
      <alignment horizontal="right"/>
      <protection locked="0"/>
    </xf>
    <xf numFmtId="0" fontId="13" fillId="0" borderId="1" xfId="43" applyFont="1" applyFill="1" applyBorder="1" applyAlignment="1" applyProtection="1">
      <alignment horizontal="left" vertical="top" indent="2"/>
    </xf>
    <xf numFmtId="0" fontId="14" fillId="0" borderId="1" xfId="43" applyFont="1" applyFill="1" applyBorder="1" applyAlignment="1" applyProtection="1">
      <alignment horizontal="left" vertical="top"/>
    </xf>
    <xf numFmtId="0" fontId="14" fillId="0" borderId="1" xfId="0" applyFont="1" applyBorder="1" applyAlignment="1" applyProtection="1">
      <alignment horizontal="left" vertical="top"/>
    </xf>
    <xf numFmtId="0" fontId="13" fillId="0" borderId="0" xfId="7" applyFont="1" applyFill="1" applyBorder="1" applyProtection="1">
      <protection locked="0"/>
    </xf>
    <xf numFmtId="0" fontId="14" fillId="2" borderId="0" xfId="7" applyFont="1" applyFill="1" applyAlignment="1" applyProtection="1">
      <protection locked="0"/>
    </xf>
    <xf numFmtId="0" fontId="13" fillId="2" borderId="0" xfId="44" applyFont="1" applyFill="1" applyAlignment="1" applyProtection="1">
      <alignment horizontal="right"/>
      <protection locked="0"/>
    </xf>
    <xf numFmtId="0" fontId="13" fillId="0" borderId="0" xfId="0" applyFont="1" applyProtection="1">
      <protection locked="0"/>
    </xf>
    <xf numFmtId="0" fontId="14" fillId="2" borderId="0" xfId="6" applyFont="1" applyFill="1" applyProtection="1"/>
    <xf numFmtId="0" fontId="14" fillId="2" borderId="0" xfId="7" applyFont="1" applyFill="1" applyBorder="1" applyAlignment="1" applyProtection="1"/>
    <xf numFmtId="0" fontId="13" fillId="2" borderId="0" xfId="43" applyFont="1" applyFill="1" applyBorder="1" applyProtection="1"/>
    <xf numFmtId="0" fontId="13" fillId="0" borderId="0" xfId="0" applyFont="1"/>
    <xf numFmtId="0" fontId="13" fillId="0" borderId="1" xfId="8" applyFont="1" applyBorder="1" applyProtection="1"/>
    <xf numFmtId="0" fontId="13" fillId="0" borderId="1" xfId="8" applyFont="1" applyFill="1" applyBorder="1" applyAlignment="1" applyProtection="1">
      <alignment horizontal="left" vertical="top"/>
    </xf>
    <xf numFmtId="0" fontId="13" fillId="2" borderId="1" xfId="43" applyNumberFormat="1" applyFont="1" applyFill="1" applyBorder="1" applyAlignment="1" applyProtection="1">
      <alignment horizontal="left" vertical="top" indent="2"/>
    </xf>
    <xf numFmtId="0" fontId="13" fillId="0" borderId="1" xfId="43" applyFont="1" applyFill="1" applyBorder="1" applyAlignment="1" applyProtection="1">
      <alignment horizontal="left" vertical="top" wrapText="1" indent="2"/>
    </xf>
    <xf numFmtId="0" fontId="13" fillId="2" borderId="1" xfId="44" applyFont="1" applyFill="1" applyBorder="1" applyAlignment="1" applyProtection="1">
      <alignment horizontal="left" vertical="top" indent="2"/>
    </xf>
    <xf numFmtId="0" fontId="14" fillId="2" borderId="1" xfId="44" applyFont="1" applyFill="1" applyBorder="1" applyAlignment="1" applyProtection="1">
      <alignment horizontal="left" vertical="top"/>
    </xf>
    <xf numFmtId="0" fontId="13" fillId="0" borderId="1" xfId="12" applyFont="1" applyFill="1" applyBorder="1" applyAlignment="1" applyProtection="1">
      <alignment horizontal="left" vertical="top" indent="2"/>
    </xf>
    <xf numFmtId="3" fontId="14" fillId="0" borderId="1" xfId="43" applyNumberFormat="1" applyFont="1" applyFill="1" applyBorder="1" applyAlignment="1" applyProtection="1">
      <alignment horizontal="right"/>
      <protection locked="0"/>
    </xf>
    <xf numFmtId="0" fontId="13" fillId="0" borderId="1" xfId="0" applyFont="1" applyBorder="1" applyProtection="1"/>
    <xf numFmtId="0" fontId="13" fillId="0" borderId="1" xfId="12" applyFont="1" applyFill="1" applyBorder="1" applyAlignment="1" applyProtection="1"/>
    <xf numFmtId="0" fontId="13" fillId="0" borderId="0" xfId="8" applyFont="1" applyProtection="1">
      <protection locked="0"/>
    </xf>
    <xf numFmtId="0" fontId="14" fillId="0" borderId="0" xfId="8" applyFont="1" applyProtection="1">
      <protection locked="0"/>
    </xf>
    <xf numFmtId="0" fontId="14" fillId="2" borderId="0" xfId="8" applyFont="1" applyFill="1" applyAlignment="1" applyProtection="1"/>
    <xf numFmtId="0" fontId="14" fillId="2" borderId="0" xfId="8" applyFont="1" applyFill="1" applyAlignment="1" applyProtection="1">
      <alignment horizontal="left"/>
    </xf>
    <xf numFmtId="0" fontId="13" fillId="2" borderId="0" xfId="8" applyFont="1" applyFill="1" applyAlignment="1" applyProtection="1">
      <protection locked="0"/>
    </xf>
    <xf numFmtId="0" fontId="13" fillId="0" borderId="1" xfId="39" applyFont="1" applyBorder="1" applyProtection="1"/>
    <xf numFmtId="0" fontId="14" fillId="2" borderId="1" xfId="10" applyFont="1" applyFill="1" applyBorder="1" applyAlignment="1" applyProtection="1">
      <alignment horizontal="center" vertical="center"/>
    </xf>
    <xf numFmtId="0" fontId="13" fillId="0" borderId="1" xfId="39" applyFont="1" applyBorder="1" applyAlignment="1" applyProtection="1">
      <alignment horizontal="left" vertical="top"/>
    </xf>
    <xf numFmtId="0" fontId="14" fillId="2" borderId="1" xfId="10" applyFont="1" applyFill="1" applyBorder="1" applyAlignment="1" applyProtection="1">
      <alignment horizontal="left" vertical="top" wrapText="1"/>
    </xf>
    <xf numFmtId="3" fontId="14" fillId="3" borderId="1" xfId="39" applyNumberFormat="1" applyFont="1" applyFill="1" applyBorder="1" applyAlignment="1" applyProtection="1">
      <alignment horizontal="right"/>
    </xf>
    <xf numFmtId="0" fontId="13" fillId="2" borderId="1" xfId="10" applyFont="1" applyFill="1" applyBorder="1" applyAlignment="1" applyProtection="1">
      <alignment horizontal="left" vertical="top" wrapText="1" indent="2"/>
    </xf>
    <xf numFmtId="3" fontId="14" fillId="2" borderId="1" xfId="39" applyNumberFormat="1" applyFont="1" applyFill="1" applyBorder="1" applyAlignment="1" applyProtection="1">
      <alignment horizontal="right"/>
      <protection locked="0"/>
    </xf>
    <xf numFmtId="0" fontId="13" fillId="0" borderId="1" xfId="10" applyFont="1" applyFill="1" applyBorder="1" applyAlignment="1" applyProtection="1">
      <alignment horizontal="left" vertical="top" wrapText="1" indent="2"/>
    </xf>
    <xf numFmtId="0" fontId="13" fillId="2" borderId="1" xfId="10" applyFont="1" applyFill="1" applyBorder="1" applyAlignment="1" applyProtection="1">
      <alignment horizontal="left" vertical="top" wrapText="1"/>
    </xf>
    <xf numFmtId="0" fontId="14" fillId="2" borderId="1" xfId="39" applyNumberFormat="1" applyFont="1" applyFill="1" applyBorder="1" applyAlignment="1" applyProtection="1">
      <alignment horizontal="right"/>
      <protection locked="0"/>
    </xf>
    <xf numFmtId="0" fontId="13" fillId="0" borderId="1" xfId="39" applyFont="1" applyFill="1" applyBorder="1" applyAlignment="1" applyProtection="1">
      <alignment horizontal="left" vertical="top"/>
    </xf>
    <xf numFmtId="0" fontId="13" fillId="0" borderId="1" xfId="10" applyFont="1" applyBorder="1" applyAlignment="1" applyProtection="1">
      <alignment horizontal="left" vertical="top" wrapText="1" indent="2"/>
    </xf>
    <xf numFmtId="0" fontId="13" fillId="0" borderId="1" xfId="36" applyFont="1" applyFill="1" applyBorder="1" applyProtection="1"/>
    <xf numFmtId="0" fontId="13" fillId="2" borderId="1" xfId="36" applyFont="1" applyFill="1" applyBorder="1" applyAlignment="1" applyProtection="1"/>
    <xf numFmtId="0" fontId="13" fillId="0" borderId="1" xfId="36" applyFont="1" applyFill="1" applyBorder="1" applyAlignment="1" applyProtection="1">
      <alignment horizontal="left" vertical="top"/>
    </xf>
    <xf numFmtId="0" fontId="14" fillId="2" borderId="1" xfId="35" applyFont="1" applyFill="1" applyBorder="1" applyAlignment="1" applyProtection="1">
      <alignment horizontal="left" vertical="top" wrapText="1"/>
    </xf>
    <xf numFmtId="3" fontId="14" fillId="3" borderId="1" xfId="36" applyNumberFormat="1" applyFont="1" applyFill="1" applyBorder="1" applyAlignment="1" applyProtection="1">
      <alignment horizontal="right"/>
    </xf>
    <xf numFmtId="0" fontId="13" fillId="2" borderId="1" xfId="35" applyFont="1" applyFill="1" applyBorder="1" applyAlignment="1" applyProtection="1">
      <alignment horizontal="left" vertical="top" wrapText="1" indent="2"/>
    </xf>
    <xf numFmtId="3" fontId="14" fillId="2" borderId="1" xfId="36" applyNumberFormat="1" applyFont="1" applyFill="1" applyBorder="1" applyAlignment="1" applyProtection="1">
      <alignment horizontal="right"/>
      <protection locked="0"/>
    </xf>
    <xf numFmtId="0" fontId="13" fillId="0" borderId="1" xfId="35" applyFont="1" applyFill="1" applyBorder="1" applyAlignment="1" applyProtection="1">
      <alignment horizontal="left" vertical="top" wrapText="1" indent="2"/>
    </xf>
    <xf numFmtId="0" fontId="13" fillId="2" borderId="1" xfId="35" applyFont="1" applyFill="1" applyBorder="1" applyAlignment="1" applyProtection="1">
      <alignment horizontal="left" vertical="top" wrapText="1"/>
    </xf>
    <xf numFmtId="0" fontId="14" fillId="0" borderId="1" xfId="35" applyFont="1" applyFill="1" applyBorder="1" applyAlignment="1" applyProtection="1">
      <alignment horizontal="left" vertical="top" wrapText="1"/>
    </xf>
    <xf numFmtId="0" fontId="13" fillId="2" borderId="1" xfId="36" applyFont="1" applyFill="1" applyBorder="1" applyAlignment="1" applyProtection="1">
      <alignment horizontal="left" vertical="top" wrapText="1"/>
    </xf>
    <xf numFmtId="0" fontId="13" fillId="0" borderId="1" xfId="37" applyFont="1" applyFill="1" applyBorder="1" applyAlignment="1" applyProtection="1">
      <alignment horizontal="left" vertical="top"/>
    </xf>
    <xf numFmtId="3" fontId="14" fillId="3" borderId="1" xfId="37" applyNumberFormat="1" applyFont="1" applyFill="1" applyBorder="1" applyAlignment="1" applyProtection="1">
      <alignment horizontal="right"/>
    </xf>
    <xf numFmtId="3" fontId="14" fillId="2" borderId="1" xfId="37" applyNumberFormat="1" applyFont="1" applyFill="1" applyBorder="1" applyAlignment="1" applyProtection="1">
      <alignment horizontal="right"/>
      <protection locked="0"/>
    </xf>
    <xf numFmtId="3" fontId="14" fillId="3" borderId="1" xfId="0" applyNumberFormat="1" applyFont="1" applyFill="1" applyBorder="1" applyProtection="1"/>
    <xf numFmtId="0" fontId="13" fillId="0" borderId="1" xfId="35" applyFont="1" applyBorder="1" applyAlignment="1" applyProtection="1">
      <alignment horizontal="left" vertical="top" wrapText="1" indent="2"/>
    </xf>
    <xf numFmtId="0" fontId="13" fillId="0" borderId="1" xfId="35" applyFont="1" applyFill="1" applyBorder="1" applyAlignment="1" applyProtection="1">
      <alignment horizontal="left" vertical="top" wrapText="1"/>
    </xf>
    <xf numFmtId="0" fontId="13" fillId="0" borderId="1" xfId="21" applyFont="1" applyFill="1" applyBorder="1" applyProtection="1"/>
    <xf numFmtId="0" fontId="13" fillId="2" borderId="1" xfId="21" applyFont="1" applyFill="1" applyBorder="1" applyProtection="1"/>
    <xf numFmtId="0" fontId="13" fillId="0" borderId="1" xfId="21" applyFont="1" applyFill="1" applyBorder="1" applyAlignment="1" applyProtection="1">
      <alignment horizontal="left" vertical="top"/>
    </xf>
    <xf numFmtId="0" fontId="14" fillId="2" borderId="1" xfId="21" applyFont="1" applyFill="1" applyBorder="1" applyAlignment="1" applyProtection="1">
      <alignment horizontal="left" vertical="top"/>
    </xf>
    <xf numFmtId="3" fontId="14" fillId="2" borderId="1" xfId="21" applyNumberFormat="1" applyFont="1" applyFill="1" applyBorder="1" applyAlignment="1" applyProtection="1">
      <alignment horizontal="right"/>
      <protection locked="0"/>
    </xf>
    <xf numFmtId="0" fontId="13" fillId="2" borderId="1" xfId="21" applyFont="1" applyFill="1" applyBorder="1" applyAlignment="1" applyProtection="1">
      <alignment horizontal="left" vertical="top" wrapText="1" indent="2"/>
    </xf>
    <xf numFmtId="3" fontId="14" fillId="3" borderId="1" xfId="21" applyNumberFormat="1" applyFont="1" applyFill="1" applyBorder="1" applyAlignment="1" applyProtection="1">
      <alignment horizontal="right"/>
    </xf>
    <xf numFmtId="0" fontId="13" fillId="2" borderId="1" xfId="21" applyFont="1" applyFill="1" applyBorder="1" applyAlignment="1" applyProtection="1">
      <alignment horizontal="left" vertical="top" indent="2"/>
    </xf>
    <xf numFmtId="0" fontId="14" fillId="2" borderId="0" xfId="21" applyFont="1" applyFill="1" applyProtection="1"/>
    <xf numFmtId="0" fontId="13" fillId="0" borderId="0" xfId="5" applyFont="1" applyFill="1" applyProtection="1">
      <protection locked="0"/>
    </xf>
    <xf numFmtId="0" fontId="14" fillId="2" borderId="0" xfId="5" applyFont="1" applyFill="1" applyAlignment="1" applyProtection="1">
      <protection locked="0"/>
    </xf>
    <xf numFmtId="0" fontId="13" fillId="2" borderId="0" xfId="5" applyFont="1" applyFill="1" applyProtection="1">
      <protection locked="0"/>
    </xf>
    <xf numFmtId="0" fontId="14" fillId="2" borderId="0" xfId="5" applyFont="1" applyFill="1" applyBorder="1" applyAlignment="1" applyProtection="1">
      <alignment horizontal="center"/>
      <protection locked="0"/>
    </xf>
    <xf numFmtId="0" fontId="13" fillId="0" borderId="0" xfId="5" applyFont="1" applyFill="1" applyBorder="1" applyProtection="1">
      <protection locked="0"/>
    </xf>
    <xf numFmtId="0" fontId="13" fillId="2" borderId="0" xfId="5" applyFont="1" applyFill="1" applyBorder="1" applyAlignment="1" applyProtection="1"/>
    <xf numFmtId="0" fontId="13" fillId="2" borderId="0" xfId="36" applyFont="1" applyFill="1" applyAlignment="1" applyProtection="1">
      <alignment horizontal="left"/>
      <protection locked="0"/>
    </xf>
    <xf numFmtId="0" fontId="13" fillId="0" borderId="0" xfId="36" applyFont="1" applyFill="1" applyProtection="1">
      <protection locked="0"/>
    </xf>
    <xf numFmtId="0" fontId="14" fillId="2" borderId="0" xfId="36" applyFont="1" applyFill="1" applyProtection="1"/>
    <xf numFmtId="0" fontId="13" fillId="2" borderId="0" xfId="36" applyFont="1" applyFill="1" applyAlignment="1" applyProtection="1">
      <alignment horizontal="right"/>
      <protection locked="0"/>
    </xf>
    <xf numFmtId="0" fontId="13" fillId="0" borderId="0" xfId="36" applyFont="1" applyFill="1"/>
    <xf numFmtId="0" fontId="13" fillId="2" borderId="0" xfId="36" applyFont="1" applyFill="1" applyAlignment="1" applyProtection="1">
      <alignment horizontal="right"/>
    </xf>
    <xf numFmtId="0" fontId="13" fillId="2" borderId="0" xfId="36" applyFont="1" applyFill="1" applyAlignment="1" applyProtection="1">
      <alignment horizontal="left"/>
    </xf>
    <xf numFmtId="0" fontId="14" fillId="2" borderId="0" xfId="36" applyFont="1" applyFill="1" applyBorder="1" applyAlignment="1" applyProtection="1">
      <alignment horizontal="center"/>
    </xf>
    <xf numFmtId="3" fontId="13" fillId="2" borderId="0" xfId="36" applyNumberFormat="1" applyFont="1" applyFill="1" applyBorder="1" applyAlignment="1" applyProtection="1">
      <alignment horizontal="right"/>
      <protection locked="0"/>
    </xf>
    <xf numFmtId="3" fontId="14" fillId="2" borderId="0" xfId="36" applyNumberFormat="1" applyFont="1" applyFill="1" applyBorder="1" applyAlignment="1" applyProtection="1">
      <alignment horizontal="right"/>
    </xf>
    <xf numFmtId="0" fontId="13" fillId="2" borderId="0" xfId="36" applyFont="1" applyFill="1" applyBorder="1" applyAlignment="1">
      <alignment horizontal="right"/>
    </xf>
    <xf numFmtId="0" fontId="13" fillId="2" borderId="0" xfId="36" applyFont="1" applyFill="1" applyBorder="1" applyAlignment="1" applyProtection="1">
      <alignment horizontal="right"/>
    </xf>
    <xf numFmtId="3" fontId="13" fillId="2" borderId="0" xfId="36" applyNumberFormat="1" applyFont="1" applyFill="1" applyBorder="1" applyAlignment="1" applyProtection="1">
      <alignment horizontal="right"/>
    </xf>
    <xf numFmtId="0" fontId="13" fillId="2" borderId="0" xfId="36" applyFont="1" applyFill="1" applyBorder="1" applyAlignment="1" applyProtection="1">
      <alignment horizontal="left"/>
    </xf>
    <xf numFmtId="0" fontId="13" fillId="2" borderId="0" xfId="36" applyFont="1" applyFill="1" applyBorder="1" applyProtection="1"/>
    <xf numFmtId="0" fontId="13" fillId="0" borderId="1" xfId="42" applyFont="1" applyFill="1" applyBorder="1" applyProtection="1"/>
    <xf numFmtId="0" fontId="14" fillId="2" borderId="1" xfId="42" applyFont="1" applyFill="1" applyBorder="1" applyAlignment="1" applyProtection="1">
      <alignment horizontal="center" vertical="center" wrapText="1"/>
    </xf>
    <xf numFmtId="0" fontId="13" fillId="0" borderId="1" xfId="42" applyFont="1" applyFill="1" applyBorder="1" applyAlignment="1" applyProtection="1">
      <alignment vertical="top"/>
    </xf>
    <xf numFmtId="0" fontId="14" fillId="2" borderId="1" xfId="42" applyFont="1" applyFill="1" applyBorder="1" applyAlignment="1" applyProtection="1">
      <alignment horizontal="left" wrapText="1"/>
    </xf>
    <xf numFmtId="3" fontId="14" fillId="3" borderId="1" xfId="42" applyNumberFormat="1" applyFont="1" applyFill="1" applyBorder="1" applyAlignment="1" applyProtection="1">
      <alignment horizontal="right"/>
    </xf>
    <xf numFmtId="0" fontId="14" fillId="0" borderId="1" xfId="0" applyFont="1" applyBorder="1" applyProtection="1"/>
    <xf numFmtId="0" fontId="14" fillId="2" borderId="1" xfId="42" applyFont="1" applyFill="1" applyBorder="1" applyAlignment="1" applyProtection="1">
      <alignment wrapText="1"/>
    </xf>
    <xf numFmtId="0" fontId="13" fillId="2" borderId="1" xfId="42" applyFont="1" applyFill="1" applyBorder="1" applyAlignment="1" applyProtection="1">
      <alignment horizontal="left" wrapText="1" indent="2"/>
    </xf>
    <xf numFmtId="3" fontId="14" fillId="0" borderId="1" xfId="42" applyNumberFormat="1" applyFont="1" applyFill="1" applyBorder="1" applyAlignment="1" applyProtection="1">
      <alignment horizontal="right"/>
      <protection locked="0"/>
    </xf>
    <xf numFmtId="3" fontId="14" fillId="2" borderId="1" xfId="42" applyNumberFormat="1" applyFont="1" applyFill="1" applyBorder="1" applyAlignment="1" applyProtection="1">
      <alignment horizontal="right"/>
      <protection locked="0"/>
    </xf>
    <xf numFmtId="0" fontId="13" fillId="0" borderId="1" xfId="42" applyFont="1" applyFill="1" applyBorder="1" applyAlignment="1" applyProtection="1">
      <alignment horizontal="left" wrapText="1" indent="2"/>
    </xf>
    <xf numFmtId="0" fontId="15" fillId="2" borderId="1" xfId="42" applyFont="1" applyFill="1" applyBorder="1" applyAlignment="1" applyProtection="1"/>
    <xf numFmtId="3" fontId="15" fillId="2" borderId="1" xfId="42" applyNumberFormat="1" applyFont="1" applyFill="1" applyBorder="1" applyAlignment="1" applyProtection="1">
      <alignment horizontal="right"/>
      <protection locked="0"/>
    </xf>
    <xf numFmtId="0" fontId="14" fillId="0" borderId="1" xfId="42" applyFont="1" applyFill="1" applyBorder="1" applyAlignment="1" applyProtection="1">
      <alignment horizontal="left" wrapText="1"/>
    </xf>
    <xf numFmtId="0" fontId="13" fillId="0" borderId="1" xfId="42" applyFont="1" applyFill="1" applyBorder="1" applyAlignment="1" applyProtection="1">
      <alignment horizontal="left" vertical="top" wrapText="1" indent="2"/>
    </xf>
    <xf numFmtId="0" fontId="15" fillId="0" borderId="1" xfId="42" applyFont="1" applyFill="1" applyBorder="1" applyAlignment="1" applyProtection="1">
      <alignment vertical="top"/>
    </xf>
    <xf numFmtId="0" fontId="14" fillId="0" borderId="1" xfId="42" applyFont="1" applyFill="1" applyBorder="1" applyAlignment="1" applyProtection="1">
      <alignment wrapText="1"/>
    </xf>
    <xf numFmtId="3" fontId="15" fillId="0" borderId="1" xfId="42" applyNumberFormat="1" applyFont="1" applyFill="1" applyBorder="1" applyProtection="1">
      <protection locked="0"/>
    </xf>
    <xf numFmtId="3" fontId="14" fillId="3" borderId="1" xfId="42" applyNumberFormat="1" applyFont="1" applyFill="1" applyBorder="1" applyProtection="1"/>
    <xf numFmtId="0" fontId="15" fillId="2" borderId="1" xfId="42" applyFont="1" applyFill="1" applyBorder="1" applyAlignment="1" applyProtection="1">
      <alignment wrapText="1"/>
    </xf>
    <xf numFmtId="0" fontId="13" fillId="0" borderId="0" xfId="42" applyFont="1" applyFill="1" applyProtection="1">
      <protection locked="0"/>
    </xf>
    <xf numFmtId="1" fontId="14" fillId="2" borderId="0" xfId="42" applyNumberFormat="1" applyFont="1" applyFill="1" applyProtection="1">
      <protection locked="0"/>
    </xf>
    <xf numFmtId="1" fontId="14" fillId="2" borderId="0" xfId="42" applyNumberFormat="1" applyFont="1" applyFill="1" applyAlignment="1" applyProtection="1">
      <alignment horizontal="left"/>
    </xf>
    <xf numFmtId="0" fontId="13" fillId="0" borderId="0" xfId="42" applyFont="1" applyFill="1" applyBorder="1" applyProtection="1">
      <protection locked="0"/>
    </xf>
    <xf numFmtId="1" fontId="14" fillId="2" borderId="0" xfId="42" applyNumberFormat="1" applyFont="1" applyFill="1" applyBorder="1" applyAlignment="1" applyProtection="1">
      <alignment wrapText="1"/>
      <protection locked="0"/>
    </xf>
    <xf numFmtId="0" fontId="13" fillId="0" borderId="1" xfId="33" applyFont="1" applyFill="1" applyBorder="1" applyProtection="1"/>
    <xf numFmtId="0" fontId="14" fillId="2" borderId="1" xfId="33" applyFont="1" applyFill="1" applyBorder="1" applyAlignment="1" applyProtection="1">
      <alignment horizontal="center" vertical="center" wrapText="1"/>
    </xf>
    <xf numFmtId="0" fontId="14" fillId="0" borderId="1" xfId="33" applyFont="1" applyFill="1" applyBorder="1" applyAlignment="1" applyProtection="1">
      <alignment horizontal="center" vertical="center" wrapText="1"/>
    </xf>
    <xf numFmtId="0" fontId="14" fillId="2" borderId="1" xfId="33" applyFont="1" applyFill="1" applyBorder="1" applyAlignment="1" applyProtection="1">
      <alignment horizontal="centerContinuous"/>
    </xf>
    <xf numFmtId="0" fontId="14" fillId="2" borderId="1" xfId="33" applyFont="1" applyFill="1" applyBorder="1" applyAlignment="1" applyProtection="1">
      <alignment horizontal="center"/>
    </xf>
    <xf numFmtId="0" fontId="13" fillId="0" borderId="1" xfId="33" applyFont="1" applyFill="1" applyBorder="1" applyAlignment="1" applyProtection="1">
      <alignment horizontal="left" vertical="top"/>
    </xf>
    <xf numFmtId="0" fontId="14" fillId="2" borderId="1" xfId="33" applyFont="1" applyFill="1" applyBorder="1" applyAlignment="1" applyProtection="1">
      <alignment horizontal="left" vertical="top" wrapText="1"/>
    </xf>
    <xf numFmtId="3" fontId="14" fillId="3" borderId="1" xfId="33" applyNumberFormat="1" applyFont="1" applyFill="1" applyBorder="1" applyAlignment="1" applyProtection="1">
      <alignment horizontal="right"/>
    </xf>
    <xf numFmtId="0" fontId="13" fillId="2" borderId="1" xfId="33" applyFont="1" applyFill="1" applyBorder="1" applyAlignment="1" applyProtection="1">
      <alignment horizontal="left" vertical="top" wrapText="1" indent="2"/>
    </xf>
    <xf numFmtId="3" fontId="14" fillId="2" borderId="1" xfId="33" applyNumberFormat="1" applyFont="1" applyFill="1" applyBorder="1" applyAlignment="1" applyProtection="1">
      <alignment horizontal="right" wrapText="1"/>
      <protection locked="0"/>
    </xf>
    <xf numFmtId="3" fontId="14" fillId="3" borderId="1" xfId="33" applyNumberFormat="1" applyFont="1" applyFill="1" applyBorder="1" applyAlignment="1" applyProtection="1">
      <alignment horizontal="right" wrapText="1"/>
    </xf>
    <xf numFmtId="0" fontId="13" fillId="0" borderId="0" xfId="33" applyFont="1" applyFill="1" applyProtection="1">
      <protection locked="0"/>
    </xf>
    <xf numFmtId="0" fontId="14" fillId="2" borderId="0" xfId="33" applyFont="1" applyFill="1" applyProtection="1">
      <protection locked="0"/>
    </xf>
    <xf numFmtId="0" fontId="13" fillId="2" borderId="0" xfId="33" applyFont="1" applyFill="1" applyProtection="1">
      <protection locked="0"/>
    </xf>
    <xf numFmtId="0" fontId="13" fillId="0" borderId="0" xfId="33" applyFont="1" applyFill="1" applyProtection="1">
      <protection locked="0" hidden="1"/>
    </xf>
    <xf numFmtId="0" fontId="13" fillId="2" borderId="0" xfId="33" applyFont="1" applyFill="1" applyProtection="1"/>
    <xf numFmtId="0" fontId="14" fillId="2" borderId="0" xfId="33" applyFont="1" applyFill="1" applyProtection="1"/>
    <xf numFmtId="0" fontId="13" fillId="0" borderId="0" xfId="33" applyFont="1" applyFill="1" applyBorder="1" applyProtection="1">
      <protection locked="0"/>
    </xf>
    <xf numFmtId="0" fontId="14" fillId="2" borderId="0" xfId="33" applyFont="1" applyFill="1" applyBorder="1" applyAlignment="1" applyProtection="1">
      <alignment horizontal="centerContinuous"/>
      <protection locked="0"/>
    </xf>
    <xf numFmtId="0" fontId="13" fillId="0" borderId="0" xfId="33" applyFont="1" applyFill="1" applyBorder="1" applyProtection="1">
      <protection locked="0" hidden="1"/>
    </xf>
    <xf numFmtId="0" fontId="13" fillId="0" borderId="0" xfId="33" applyFont="1" applyFill="1" applyBorder="1" applyProtection="1"/>
    <xf numFmtId="0" fontId="13" fillId="2" borderId="0" xfId="33" applyFont="1" applyFill="1" applyBorder="1" applyProtection="1"/>
    <xf numFmtId="0" fontId="14" fillId="2" borderId="0" xfId="33" applyFont="1" applyFill="1" applyBorder="1" applyAlignment="1" applyProtection="1">
      <alignment horizontal="right" vertical="center" shrinkToFit="1"/>
    </xf>
    <xf numFmtId="0" fontId="13" fillId="2" borderId="0" xfId="33" applyFont="1" applyFill="1" applyBorder="1" applyAlignment="1" applyProtection="1">
      <alignment horizontal="right"/>
    </xf>
    <xf numFmtId="0" fontId="13" fillId="0" borderId="0" xfId="33" applyFont="1" applyFill="1" applyBorder="1" applyProtection="1">
      <protection hidden="1"/>
    </xf>
    <xf numFmtId="0" fontId="16" fillId="0" borderId="0" xfId="0" applyFont="1"/>
    <xf numFmtId="0" fontId="13" fillId="0" borderId="0" xfId="33" applyFont="1" applyFill="1" applyProtection="1">
      <protection hidden="1"/>
    </xf>
    <xf numFmtId="0" fontId="14" fillId="0" borderId="0" xfId="33" applyFont="1" applyFill="1" applyAlignment="1" applyProtection="1">
      <alignment horizontal="left"/>
      <protection hidden="1"/>
    </xf>
    <xf numFmtId="0" fontId="14" fillId="0" borderId="0" xfId="33" applyFont="1" applyFill="1" applyProtection="1">
      <protection hidden="1"/>
    </xf>
    <xf numFmtId="0" fontId="19" fillId="0" borderId="1" xfId="34" applyFont="1" applyFill="1" applyBorder="1" applyProtection="1"/>
    <xf numFmtId="0" fontId="20" fillId="2" borderId="1" xfId="34" applyFont="1" applyFill="1" applyBorder="1" applyAlignment="1" applyProtection="1">
      <alignment horizontal="centerContinuous"/>
    </xf>
    <xf numFmtId="0" fontId="20" fillId="2" borderId="1" xfId="34" applyFont="1" applyFill="1" applyBorder="1" applyAlignment="1" applyProtection="1">
      <alignment horizontal="center"/>
    </xf>
    <xf numFmtId="0" fontId="13" fillId="0" borderId="1" xfId="34" applyFont="1" applyFill="1" applyBorder="1" applyAlignment="1" applyProtection="1">
      <alignment horizontal="left" vertical="top"/>
    </xf>
    <xf numFmtId="3" fontId="14" fillId="3" borderId="1" xfId="34" applyNumberFormat="1" applyFont="1" applyFill="1" applyBorder="1" applyAlignment="1" applyProtection="1">
      <alignment horizontal="right"/>
    </xf>
    <xf numFmtId="3" fontId="14" fillId="2" borderId="1" xfId="34" applyNumberFormat="1" applyFont="1" applyFill="1" applyBorder="1" applyAlignment="1" applyProtection="1">
      <alignment horizontal="right" wrapText="1"/>
      <protection locked="0"/>
    </xf>
    <xf numFmtId="0" fontId="13" fillId="0" borderId="0" xfId="34" applyFont="1" applyFill="1" applyProtection="1">
      <protection locked="0"/>
    </xf>
    <xf numFmtId="0" fontId="14" fillId="2" borderId="0" xfId="34" applyFont="1" applyFill="1" applyProtection="1">
      <protection locked="0"/>
    </xf>
    <xf numFmtId="0" fontId="13" fillId="2" borderId="0" xfId="34" applyFont="1" applyFill="1" applyProtection="1">
      <protection locked="0"/>
    </xf>
    <xf numFmtId="0" fontId="13" fillId="2" borderId="0" xfId="34" applyFont="1" applyFill="1" applyProtection="1"/>
    <xf numFmtId="0" fontId="14" fillId="2" borderId="0" xfId="34" applyFont="1" applyFill="1" applyProtection="1"/>
    <xf numFmtId="0" fontId="13" fillId="0" borderId="0" xfId="34" applyFont="1" applyFill="1" applyBorder="1" applyProtection="1">
      <protection locked="0"/>
    </xf>
    <xf numFmtId="0" fontId="14" fillId="2" borderId="0" xfId="34" applyFont="1" applyFill="1" applyBorder="1" applyAlignment="1" applyProtection="1">
      <alignment horizontal="centerContinuous"/>
      <protection locked="0"/>
    </xf>
    <xf numFmtId="0" fontId="19" fillId="0" borderId="0" xfId="34" applyFont="1" applyFill="1" applyBorder="1" applyProtection="1">
      <protection locked="0"/>
    </xf>
    <xf numFmtId="0" fontId="19" fillId="2" borderId="0" xfId="34" applyFont="1" applyFill="1" applyBorder="1" applyProtection="1">
      <protection locked="0"/>
    </xf>
    <xf numFmtId="0" fontId="20" fillId="2" borderId="0" xfId="34" applyFont="1" applyFill="1" applyBorder="1" applyAlignment="1" applyProtection="1">
      <alignment horizontal="right" vertical="center" shrinkToFit="1"/>
      <protection locked="0"/>
    </xf>
    <xf numFmtId="0" fontId="19" fillId="2" borderId="0" xfId="34" applyFont="1" applyFill="1" applyBorder="1" applyAlignment="1" applyProtection="1">
      <alignment horizontal="right"/>
      <protection locked="0"/>
    </xf>
    <xf numFmtId="0" fontId="19" fillId="0" borderId="0" xfId="0" applyFont="1" applyProtection="1">
      <protection locked="0"/>
    </xf>
    <xf numFmtId="0" fontId="19" fillId="0" borderId="0" xfId="0" applyFont="1"/>
    <xf numFmtId="0" fontId="17" fillId="2" borderId="1" xfId="13" applyFont="1" applyFill="1" applyBorder="1" applyAlignment="1" applyProtection="1">
      <alignment horizontal="center" vertical="center"/>
    </xf>
    <xf numFmtId="0" fontId="14" fillId="2" borderId="1" xfId="13" applyFont="1" applyFill="1" applyBorder="1" applyAlignment="1" applyProtection="1">
      <alignment horizontal="center" vertical="center" wrapText="1"/>
    </xf>
    <xf numFmtId="0" fontId="14" fillId="2" borderId="1" xfId="13" applyFont="1" applyFill="1" applyBorder="1" applyAlignment="1" applyProtection="1">
      <alignment horizontal="centerContinuous" vertical="center" wrapText="1"/>
    </xf>
    <xf numFmtId="0" fontId="19" fillId="0" borderId="1" xfId="13" applyFont="1" applyFill="1" applyBorder="1" applyProtection="1"/>
    <xf numFmtId="0" fontId="20" fillId="2" borderId="1" xfId="13" applyFont="1" applyFill="1" applyBorder="1" applyAlignment="1" applyProtection="1">
      <alignment horizontal="center" vertical="center" wrapText="1"/>
    </xf>
    <xf numFmtId="0" fontId="20" fillId="2" borderId="1" xfId="13" applyFont="1" applyFill="1" applyBorder="1" applyAlignment="1" applyProtection="1">
      <alignment horizontal="centerContinuous" vertical="center" wrapText="1"/>
    </xf>
    <xf numFmtId="0" fontId="13" fillId="0" borderId="1" xfId="13" applyFont="1" applyFill="1" applyBorder="1" applyAlignment="1" applyProtection="1">
      <alignment horizontal="left" vertical="top"/>
    </xf>
    <xf numFmtId="3" fontId="14" fillId="3" borderId="1" xfId="13" applyNumberFormat="1" applyFont="1" applyFill="1" applyBorder="1" applyAlignment="1" applyProtection="1">
      <alignment horizontal="right" vertical="center" wrapText="1"/>
    </xf>
    <xf numFmtId="0" fontId="13" fillId="2" borderId="1" xfId="33" applyFont="1" applyFill="1" applyBorder="1" applyAlignment="1" applyProtection="1">
      <alignment horizontal="left" vertical="top" indent="2"/>
    </xf>
    <xf numFmtId="3" fontId="14" fillId="3" borderId="1" xfId="13" applyNumberFormat="1" applyFont="1" applyFill="1" applyBorder="1" applyAlignment="1" applyProtection="1">
      <alignment horizontal="right" wrapText="1"/>
    </xf>
    <xf numFmtId="0" fontId="13" fillId="0" borderId="0" xfId="13" applyFont="1" applyFill="1" applyProtection="1">
      <protection locked="0"/>
    </xf>
    <xf numFmtId="0" fontId="14" fillId="2" borderId="0" xfId="13" applyFont="1" applyFill="1" applyProtection="1">
      <protection locked="0"/>
    </xf>
    <xf numFmtId="0" fontId="13" fillId="2" borderId="0" xfId="13" applyFont="1" applyFill="1" applyProtection="1">
      <protection locked="0"/>
    </xf>
    <xf numFmtId="0" fontId="13" fillId="0" borderId="0" xfId="13" applyFont="1" applyFill="1" applyProtection="1">
      <protection locked="0" hidden="1"/>
    </xf>
    <xf numFmtId="0" fontId="13" fillId="2" borderId="0" xfId="13" applyFont="1" applyFill="1" applyProtection="1"/>
    <xf numFmtId="0" fontId="14" fillId="2" borderId="0" xfId="13" applyFont="1" applyFill="1" applyProtection="1"/>
    <xf numFmtId="0" fontId="21" fillId="2" borderId="0" xfId="13" applyFont="1" applyFill="1" applyBorder="1" applyAlignment="1" applyProtection="1">
      <alignment horizontal="centerContinuous"/>
      <protection locked="0"/>
    </xf>
    <xf numFmtId="0" fontId="19" fillId="0" borderId="0" xfId="13" applyFont="1" applyFill="1" applyBorder="1" applyProtection="1">
      <protection locked="0"/>
    </xf>
    <xf numFmtId="0" fontId="20" fillId="2" borderId="0" xfId="13" applyFont="1" applyFill="1" applyBorder="1" applyProtection="1">
      <protection locked="0"/>
    </xf>
    <xf numFmtId="0" fontId="22" fillId="2" borderId="0" xfId="13" applyFont="1" applyFill="1" applyBorder="1" applyAlignment="1" applyProtection="1">
      <alignment horizontal="center"/>
      <protection locked="0"/>
    </xf>
    <xf numFmtId="0" fontId="19" fillId="0" borderId="0" xfId="13" applyFont="1" applyFill="1" applyProtection="1">
      <protection locked="0" hidden="1"/>
    </xf>
    <xf numFmtId="0" fontId="16" fillId="0" borderId="0" xfId="13" applyFont="1" applyFill="1" applyProtection="1">
      <protection hidden="1"/>
    </xf>
    <xf numFmtId="0" fontId="19" fillId="0" borderId="0" xfId="13" applyFont="1" applyFill="1" applyProtection="1">
      <protection hidden="1"/>
    </xf>
    <xf numFmtId="0" fontId="20" fillId="0" borderId="0" xfId="13" applyFont="1" applyFill="1" applyAlignment="1" applyProtection="1">
      <alignment horizontal="left"/>
      <protection hidden="1"/>
    </xf>
    <xf numFmtId="0" fontId="20" fillId="0" borderId="0" xfId="13" applyFont="1" applyFill="1" applyProtection="1">
      <protection hidden="1"/>
    </xf>
    <xf numFmtId="0" fontId="17" fillId="2" borderId="1" xfId="14" applyFont="1" applyFill="1" applyBorder="1" applyAlignment="1" applyProtection="1">
      <alignment horizontal="center" vertical="center"/>
    </xf>
    <xf numFmtId="0" fontId="16" fillId="0" borderId="1" xfId="14" applyFont="1" applyFill="1" applyBorder="1" applyProtection="1"/>
    <xf numFmtId="0" fontId="17" fillId="2" borderId="1" xfId="14" applyFont="1" applyFill="1" applyBorder="1" applyAlignment="1" applyProtection="1">
      <alignment horizontal="center" vertical="center" wrapText="1"/>
    </xf>
    <xf numFmtId="0" fontId="17" fillId="2" borderId="1" xfId="14" applyFont="1" applyFill="1" applyBorder="1" applyAlignment="1" applyProtection="1">
      <alignment horizontal="centerContinuous" vertical="center" wrapText="1"/>
    </xf>
    <xf numFmtId="0" fontId="13" fillId="0" borderId="1" xfId="14" applyFont="1" applyFill="1" applyBorder="1" applyAlignment="1" applyProtection="1">
      <alignment horizontal="left" vertical="top"/>
    </xf>
    <xf numFmtId="3" fontId="14" fillId="3" borderId="1" xfId="14" applyNumberFormat="1" applyFont="1" applyFill="1" applyBorder="1" applyAlignment="1" applyProtection="1">
      <alignment horizontal="right" vertical="center" wrapText="1"/>
    </xf>
    <xf numFmtId="0" fontId="14" fillId="2" borderId="1" xfId="9" applyFont="1" applyFill="1" applyBorder="1" applyAlignment="1" applyProtection="1">
      <alignment horizontal="left" vertical="top" wrapText="1" indent="2"/>
    </xf>
    <xf numFmtId="3" fontId="14" fillId="3" borderId="1" xfId="14" applyNumberFormat="1" applyFont="1" applyFill="1" applyBorder="1" applyAlignment="1" applyProtection="1">
      <alignment horizontal="right" wrapText="1"/>
    </xf>
    <xf numFmtId="0" fontId="13" fillId="0" borderId="0" xfId="14" applyFont="1" applyFill="1" applyProtection="1">
      <protection locked="0"/>
    </xf>
    <xf numFmtId="0" fontId="14" fillId="2" borderId="0" xfId="14" applyFont="1" applyFill="1" applyProtection="1">
      <protection locked="0"/>
    </xf>
    <xf numFmtId="0" fontId="13" fillId="2" borderId="0" xfId="14" applyFont="1" applyFill="1" applyProtection="1">
      <protection locked="0"/>
    </xf>
    <xf numFmtId="0" fontId="13" fillId="2" borderId="0" xfId="14" applyFont="1" applyFill="1" applyProtection="1"/>
    <xf numFmtId="0" fontId="13" fillId="2" borderId="0" xfId="14" applyFont="1" applyFill="1" applyBorder="1" applyProtection="1"/>
    <xf numFmtId="0" fontId="14" fillId="2" borderId="0" xfId="14" applyFont="1" applyFill="1" applyProtection="1"/>
    <xf numFmtId="0" fontId="21" fillId="2" borderId="0" xfId="14" applyFont="1" applyFill="1" applyBorder="1" applyAlignment="1" applyProtection="1">
      <alignment horizontal="centerContinuous"/>
      <protection locked="0"/>
    </xf>
    <xf numFmtId="0" fontId="16" fillId="0" borderId="0" xfId="14" applyFont="1" applyFill="1" applyBorder="1" applyProtection="1"/>
    <xf numFmtId="0" fontId="17" fillId="2" borderId="0" xfId="14" applyFont="1" applyFill="1" applyBorder="1" applyProtection="1"/>
    <xf numFmtId="0" fontId="23" fillId="2" borderId="0" xfId="14" applyFont="1" applyFill="1" applyBorder="1" applyAlignment="1" applyProtection="1">
      <alignment horizontal="center"/>
    </xf>
    <xf numFmtId="0" fontId="14" fillId="2" borderId="1" xfId="22" applyFont="1" applyFill="1" applyBorder="1" applyAlignment="1" applyProtection="1">
      <alignment horizontal="center" vertical="center" wrapText="1"/>
    </xf>
    <xf numFmtId="0" fontId="16" fillId="0" borderId="1" xfId="22" applyFont="1" applyBorder="1" applyAlignment="1" applyProtection="1">
      <alignment horizontal="center" vertical="center"/>
    </xf>
    <xf numFmtId="0" fontId="17" fillId="2" borderId="1" xfId="22" applyFont="1" applyFill="1" applyBorder="1" applyAlignment="1" applyProtection="1">
      <alignment horizontal="center" vertical="center" wrapText="1"/>
    </xf>
    <xf numFmtId="0" fontId="13" fillId="0" borderId="1" xfId="22" applyFont="1" applyFill="1" applyBorder="1" applyAlignment="1" applyProtection="1">
      <alignment horizontal="left" vertical="top"/>
    </xf>
    <xf numFmtId="3" fontId="14" fillId="3" borderId="1" xfId="22" applyNumberFormat="1" applyFont="1" applyFill="1" applyBorder="1" applyAlignment="1" applyProtection="1">
      <alignment horizontal="right" wrapText="1"/>
    </xf>
    <xf numFmtId="3" fontId="14" fillId="2" borderId="1" xfId="22" applyNumberFormat="1" applyFont="1" applyFill="1" applyBorder="1" applyAlignment="1" applyProtection="1">
      <alignment horizontal="right" wrapText="1"/>
      <protection locked="0"/>
    </xf>
    <xf numFmtId="16" fontId="13" fillId="0" borderId="1" xfId="22" applyNumberFormat="1" applyFont="1" applyFill="1" applyBorder="1" applyAlignment="1" applyProtection="1">
      <alignment horizontal="left" vertical="top"/>
    </xf>
    <xf numFmtId="0" fontId="13" fillId="0" borderId="0" xfId="22" applyFont="1" applyFill="1" applyProtection="1"/>
    <xf numFmtId="0" fontId="14" fillId="2" borderId="0" xfId="22" applyFont="1" applyFill="1" applyProtection="1"/>
    <xf numFmtId="0" fontId="13" fillId="2" borderId="0" xfId="22" applyFont="1" applyFill="1" applyProtection="1"/>
    <xf numFmtId="0" fontId="13" fillId="0" borderId="0" xfId="22" applyFont="1" applyFill="1" applyProtection="1">
      <protection locked="0" hidden="1"/>
    </xf>
    <xf numFmtId="0" fontId="13" fillId="0" borderId="0" xfId="22" applyFont="1" applyProtection="1"/>
    <xf numFmtId="0" fontId="13" fillId="2" borderId="0" xfId="22" applyFont="1" applyFill="1" applyProtection="1">
      <protection locked="0"/>
    </xf>
    <xf numFmtId="0" fontId="13" fillId="0" borderId="0" xfId="22" applyFont="1" applyProtection="1">
      <protection locked="0" hidden="1"/>
    </xf>
    <xf numFmtId="0" fontId="13" fillId="0" borderId="0" xfId="22" applyFont="1" applyBorder="1" applyProtection="1"/>
    <xf numFmtId="0" fontId="14" fillId="2" borderId="0" xfId="22" applyFont="1" applyFill="1" applyBorder="1" applyAlignment="1" applyProtection="1">
      <alignment horizontal="centerContinuous"/>
      <protection locked="0"/>
    </xf>
    <xf numFmtId="0" fontId="13" fillId="0" borderId="0" xfId="22" applyFont="1" applyBorder="1" applyProtection="1">
      <protection locked="0" hidden="1"/>
    </xf>
    <xf numFmtId="0" fontId="16" fillId="0" borderId="0" xfId="22" applyFont="1" applyBorder="1" applyProtection="1">
      <protection locked="0"/>
    </xf>
    <xf numFmtId="0" fontId="17" fillId="2" borderId="0" xfId="22" applyFont="1" applyFill="1" applyBorder="1" applyAlignment="1" applyProtection="1">
      <alignment wrapText="1"/>
    </xf>
    <xf numFmtId="0" fontId="23" fillId="2" borderId="0" xfId="22" applyFont="1" applyFill="1" applyBorder="1" applyAlignment="1" applyProtection="1">
      <alignment horizontal="center" wrapText="1"/>
    </xf>
    <xf numFmtId="0" fontId="16" fillId="0" borderId="0" xfId="22" applyFont="1" applyBorder="1" applyProtection="1">
      <protection hidden="1"/>
    </xf>
    <xf numFmtId="0" fontId="16" fillId="0" borderId="0" xfId="22" applyFont="1" applyProtection="1">
      <protection hidden="1"/>
    </xf>
    <xf numFmtId="0" fontId="16" fillId="0" borderId="0" xfId="22" applyFont="1" applyFill="1" applyProtection="1">
      <protection locked="0"/>
    </xf>
    <xf numFmtId="0" fontId="16" fillId="2" borderId="0" xfId="44" applyFont="1" applyFill="1" applyAlignment="1" applyProtection="1">
      <alignment horizontal="left"/>
    </xf>
    <xf numFmtId="0" fontId="16" fillId="2" borderId="0" xfId="22" applyFont="1" applyFill="1" applyProtection="1"/>
    <xf numFmtId="0" fontId="16" fillId="0" borderId="0" xfId="22" applyFont="1" applyFill="1" applyProtection="1">
      <protection hidden="1"/>
    </xf>
    <xf numFmtId="0" fontId="16" fillId="2" borderId="0" xfId="44" applyFont="1" applyFill="1" applyProtection="1"/>
    <xf numFmtId="0" fontId="16" fillId="0" borderId="0" xfId="22" applyFont="1"/>
    <xf numFmtId="0" fontId="17" fillId="0" borderId="0" xfId="22" applyFont="1" applyBorder="1" applyAlignment="1" applyProtection="1">
      <alignment wrapText="1"/>
      <protection locked="0"/>
    </xf>
    <xf numFmtId="0" fontId="16" fillId="0" borderId="0" xfId="22" quotePrefix="1" applyFont="1" applyBorder="1" applyAlignment="1" applyProtection="1">
      <alignment wrapText="1"/>
      <protection locked="0"/>
    </xf>
    <xf numFmtId="0" fontId="13" fillId="0" borderId="1" xfId="15" applyFont="1" applyBorder="1" applyProtection="1"/>
    <xf numFmtId="0" fontId="14" fillId="2" borderId="1" xfId="15" applyFont="1" applyFill="1" applyBorder="1" applyAlignment="1" applyProtection="1">
      <alignment horizontal="centerContinuous" vertical="center" wrapText="1"/>
    </xf>
    <xf numFmtId="0" fontId="14" fillId="2" borderId="1" xfId="15" applyFont="1" applyFill="1" applyBorder="1" applyAlignment="1" applyProtection="1">
      <alignment horizontal="centerContinuous" wrapText="1"/>
    </xf>
    <xf numFmtId="0" fontId="14" fillId="2" borderId="1" xfId="15" applyFont="1" applyFill="1" applyBorder="1" applyAlignment="1" applyProtection="1">
      <alignment horizontal="center" wrapText="1"/>
    </xf>
    <xf numFmtId="0" fontId="13" fillId="0" borderId="1" xfId="15" applyFont="1" applyFill="1" applyBorder="1" applyAlignment="1" applyProtection="1">
      <alignment horizontal="left" vertical="top"/>
    </xf>
    <xf numFmtId="0" fontId="13" fillId="2" borderId="1" xfId="15" applyFont="1" applyFill="1" applyBorder="1" applyAlignment="1" applyProtection="1">
      <alignment horizontal="left" vertical="top" wrapText="1"/>
    </xf>
    <xf numFmtId="3" fontId="14" fillId="2" borderId="1" xfId="15" applyNumberFormat="1" applyFont="1" applyFill="1" applyBorder="1" applyAlignment="1" applyProtection="1">
      <alignment horizontal="right" wrapText="1"/>
      <protection locked="0"/>
    </xf>
    <xf numFmtId="0" fontId="15" fillId="2" borderId="1" xfId="15" applyFont="1" applyFill="1" applyBorder="1" applyAlignment="1" applyProtection="1">
      <alignment horizontal="left" vertical="top" wrapText="1" indent="2"/>
    </xf>
    <xf numFmtId="3" fontId="14" fillId="3" borderId="1" xfId="15" applyNumberFormat="1" applyFont="1" applyFill="1" applyBorder="1" applyAlignment="1" applyProtection="1">
      <alignment horizontal="right" wrapText="1"/>
    </xf>
    <xf numFmtId="0" fontId="13" fillId="0" borderId="1" xfId="15" applyFont="1" applyFill="1" applyBorder="1" applyAlignment="1" applyProtection="1">
      <alignment horizontal="left" vertical="top" wrapText="1" indent="2"/>
    </xf>
    <xf numFmtId="0" fontId="13" fillId="2" borderId="1" xfId="15" applyFont="1" applyFill="1" applyBorder="1" applyAlignment="1" applyProtection="1">
      <alignment horizontal="left" vertical="top" wrapText="1" indent="2"/>
    </xf>
    <xf numFmtId="0" fontId="13" fillId="0" borderId="0" xfId="15" applyFont="1" applyProtection="1">
      <protection locked="0"/>
    </xf>
    <xf numFmtId="0" fontId="14" fillId="2" borderId="0" xfId="15" applyFont="1" applyFill="1" applyProtection="1">
      <protection locked="0"/>
    </xf>
    <xf numFmtId="0" fontId="13" fillId="2" borderId="0" xfId="15" applyFont="1" applyFill="1" applyProtection="1"/>
    <xf numFmtId="0" fontId="13" fillId="0" borderId="0" xfId="15" applyFont="1"/>
    <xf numFmtId="0" fontId="13" fillId="0" borderId="0" xfId="15" applyFont="1" applyBorder="1" applyProtection="1"/>
    <xf numFmtId="0" fontId="14" fillId="2" borderId="0" xfId="15" applyFont="1" applyFill="1" applyBorder="1" applyAlignment="1" applyProtection="1">
      <alignment wrapText="1"/>
    </xf>
    <xf numFmtId="0" fontId="21" fillId="2" borderId="0" xfId="15" applyFont="1" applyFill="1" applyBorder="1" applyAlignment="1" applyProtection="1">
      <alignment horizontal="center" wrapText="1"/>
    </xf>
    <xf numFmtId="0" fontId="13" fillId="0" borderId="0" xfId="15" applyFont="1" applyFill="1" applyProtection="1"/>
    <xf numFmtId="0" fontId="13" fillId="0" borderId="0" xfId="44" applyFont="1" applyFill="1" applyProtection="1"/>
    <xf numFmtId="0" fontId="14" fillId="2" borderId="0" xfId="29" applyFont="1" applyFill="1" applyProtection="1">
      <protection locked="0"/>
    </xf>
    <xf numFmtId="0" fontId="13" fillId="2" borderId="0" xfId="29" applyFont="1" applyFill="1" applyProtection="1">
      <protection locked="0"/>
    </xf>
    <xf numFmtId="0" fontId="16" fillId="0" borderId="0" xfId="0" applyFont="1" applyProtection="1">
      <protection locked="0"/>
    </xf>
    <xf numFmtId="0" fontId="14" fillId="2" borderId="0" xfId="44" applyFont="1" applyFill="1" applyAlignment="1" applyProtection="1">
      <alignment horizontal="left"/>
      <protection locked="0"/>
    </xf>
    <xf numFmtId="0" fontId="14" fillId="2" borderId="0" xfId="29" applyFont="1" applyFill="1" applyProtection="1"/>
    <xf numFmtId="0" fontId="15" fillId="2" borderId="0" xfId="29" applyFont="1" applyFill="1" applyProtection="1">
      <protection locked="0"/>
    </xf>
    <xf numFmtId="0" fontId="14" fillId="2" borderId="0" xfId="29" applyFont="1" applyFill="1" applyBorder="1" applyAlignment="1" applyProtection="1">
      <protection locked="0"/>
    </xf>
    <xf numFmtId="0" fontId="14" fillId="2" borderId="0" xfId="29" applyFont="1" applyFill="1" applyBorder="1" applyAlignment="1" applyProtection="1"/>
    <xf numFmtId="0" fontId="14" fillId="2" borderId="0" xfId="29" applyFont="1" applyFill="1" applyBorder="1" applyProtection="1">
      <protection locked="0"/>
    </xf>
    <xf numFmtId="0" fontId="13" fillId="2" borderId="0" xfId="29" applyFont="1" applyFill="1" applyBorder="1" applyProtection="1">
      <protection locked="0"/>
    </xf>
    <xf numFmtId="0" fontId="13" fillId="2" borderId="0" xfId="29" applyFont="1" applyFill="1" applyBorder="1" applyProtection="1"/>
    <xf numFmtId="0" fontId="14" fillId="2" borderId="0" xfId="4" applyFont="1" applyFill="1" applyProtection="1">
      <protection locked="0"/>
    </xf>
    <xf numFmtId="0" fontId="13" fillId="2" borderId="0" xfId="4" applyFont="1" applyFill="1" applyProtection="1">
      <protection locked="0"/>
    </xf>
    <xf numFmtId="0" fontId="13" fillId="0" borderId="0" xfId="4" applyFont="1" applyFill="1" applyBorder="1" applyProtection="1">
      <protection locked="0" hidden="1"/>
    </xf>
    <xf numFmtId="0" fontId="14" fillId="2" borderId="0" xfId="4" applyFont="1" applyFill="1" applyProtection="1"/>
    <xf numFmtId="0" fontId="14" fillId="2" borderId="0" xfId="4" applyFont="1" applyFill="1" applyBorder="1" applyAlignment="1" applyProtection="1">
      <protection locked="0"/>
    </xf>
    <xf numFmtId="0" fontId="14" fillId="2" borderId="0" xfId="4" applyFont="1" applyFill="1" applyBorder="1" applyProtection="1"/>
    <xf numFmtId="0" fontId="14" fillId="2" borderId="0" xfId="4" applyFont="1" applyFill="1" applyBorder="1" applyProtection="1">
      <protection locked="0"/>
    </xf>
    <xf numFmtId="0" fontId="13" fillId="2" borderId="0" xfId="4" applyFont="1" applyFill="1" applyBorder="1" applyProtection="1">
      <protection locked="0"/>
    </xf>
    <xf numFmtId="0" fontId="15" fillId="2" borderId="0" xfId="4" applyFont="1" applyFill="1" applyBorder="1" applyAlignment="1" applyProtection="1">
      <alignment horizontal="center" wrapText="1"/>
      <protection locked="0"/>
    </xf>
    <xf numFmtId="1" fontId="5" fillId="2" borderId="1" xfId="4" applyNumberFormat="1" applyFont="1" applyFill="1" applyBorder="1" applyAlignment="1" applyProtection="1">
      <alignment horizontal="center"/>
      <protection hidden="1"/>
    </xf>
    <xf numFmtId="1" fontId="4" fillId="2" borderId="1" xfId="4" applyNumberFormat="1" applyFont="1" applyFill="1" applyBorder="1" applyAlignment="1" applyProtection="1">
      <alignment horizontal="center"/>
      <protection hidden="1"/>
    </xf>
    <xf numFmtId="14" fontId="4" fillId="2" borderId="1" xfId="4" applyNumberFormat="1" applyFont="1" applyFill="1" applyBorder="1" applyAlignment="1" applyProtection="1">
      <alignment horizontal="center"/>
      <protection hidden="1"/>
    </xf>
    <xf numFmtId="0" fontId="14" fillId="2" borderId="1" xfId="29" applyFont="1" applyFill="1" applyBorder="1" applyAlignment="1" applyProtection="1">
      <alignment horizontal="center" vertical="center" wrapText="1"/>
      <protection hidden="1"/>
    </xf>
    <xf numFmtId="0" fontId="14" fillId="2" borderId="1" xfId="29" applyFont="1" applyFill="1" applyBorder="1" applyAlignment="1" applyProtection="1">
      <alignment horizontal="center" vertical="center"/>
      <protection hidden="1"/>
    </xf>
    <xf numFmtId="1" fontId="24" fillId="2" borderId="1" xfId="29" applyNumberFormat="1" applyFont="1" applyFill="1" applyBorder="1" applyAlignment="1" applyProtection="1">
      <alignment horizontal="center"/>
      <protection locked="0"/>
    </xf>
    <xf numFmtId="1" fontId="13" fillId="2" borderId="1" xfId="29" applyNumberFormat="1" applyFont="1" applyFill="1" applyBorder="1" applyAlignment="1" applyProtection="1">
      <alignment horizontal="center"/>
      <protection hidden="1"/>
    </xf>
    <xf numFmtId="1" fontId="14" fillId="2" borderId="1" xfId="29" applyNumberFormat="1" applyFont="1" applyFill="1" applyBorder="1" applyAlignment="1" applyProtection="1">
      <alignment horizontal="center"/>
      <protection hidden="1"/>
    </xf>
    <xf numFmtId="0" fontId="14" fillId="2" borderId="1" xfId="9" applyFont="1" applyFill="1" applyBorder="1" applyAlignment="1" applyProtection="1">
      <alignment horizontal="center" vertical="center"/>
      <protection hidden="1"/>
    </xf>
    <xf numFmtId="14" fontId="14" fillId="2" borderId="1" xfId="29" applyNumberFormat="1" applyFont="1" applyFill="1" applyBorder="1" applyAlignment="1" applyProtection="1">
      <alignment horizontal="center"/>
      <protection hidden="1"/>
    </xf>
    <xf numFmtId="3" fontId="14" fillId="3" borderId="1" xfId="29" applyNumberFormat="1" applyFont="1" applyFill="1" applyBorder="1" applyAlignment="1" applyProtection="1">
      <alignment horizontal="right"/>
      <protection hidden="1"/>
    </xf>
    <xf numFmtId="1" fontId="14" fillId="2" borderId="1" xfId="29" applyNumberFormat="1" applyFont="1" applyFill="1" applyBorder="1" applyAlignment="1" applyProtection="1">
      <alignment horizontal="center"/>
      <protection locked="0"/>
    </xf>
    <xf numFmtId="1" fontId="14" fillId="2" borderId="1" xfId="29" applyNumberFormat="1" applyFont="1" applyFill="1" applyBorder="1" applyAlignment="1" applyProtection="1">
      <protection locked="0"/>
    </xf>
    <xf numFmtId="14" fontId="14" fillId="2" borderId="1" xfId="29" applyNumberFormat="1" applyFont="1" applyFill="1" applyBorder="1" applyAlignment="1" applyProtection="1">
      <alignment horizontal="center"/>
      <protection locked="0"/>
    </xf>
    <xf numFmtId="3" fontId="14" fillId="2" borderId="1" xfId="29" applyNumberFormat="1" applyFont="1" applyFill="1" applyBorder="1" applyAlignment="1" applyProtection="1">
      <alignment horizontal="right"/>
      <protection locked="0"/>
    </xf>
    <xf numFmtId="10" fontId="14" fillId="2" borderId="1" xfId="29" applyNumberFormat="1" applyFont="1" applyFill="1" applyBorder="1" applyAlignment="1" applyProtection="1">
      <alignment horizontal="center"/>
      <protection locked="0"/>
    </xf>
    <xf numFmtId="3" fontId="14" fillId="0" borderId="1" xfId="29" applyNumberFormat="1" applyFont="1" applyFill="1" applyBorder="1" applyAlignment="1" applyProtection="1">
      <alignment horizontal="right"/>
      <protection locked="0"/>
    </xf>
    <xf numFmtId="3" fontId="4" fillId="3" borderId="1" xfId="4" applyNumberFormat="1" applyFont="1" applyFill="1" applyBorder="1" applyAlignment="1" applyProtection="1">
      <alignment horizontal="right"/>
      <protection hidden="1"/>
    </xf>
    <xf numFmtId="0" fontId="14" fillId="2" borderId="1" xfId="4" applyFont="1" applyFill="1" applyBorder="1" applyAlignment="1" applyProtection="1">
      <alignment horizontal="center" vertical="center" wrapText="1"/>
      <protection hidden="1"/>
    </xf>
    <xf numFmtId="0" fontId="14" fillId="2" borderId="1" xfId="4" applyFont="1" applyFill="1" applyBorder="1" applyAlignment="1" applyProtection="1">
      <alignment horizontal="center" vertical="center"/>
      <protection hidden="1"/>
    </xf>
    <xf numFmtId="1" fontId="6" fillId="2" borderId="1" xfId="4" applyNumberFormat="1" applyFont="1" applyFill="1" applyBorder="1" applyAlignment="1" applyProtection="1">
      <alignment horizontal="center"/>
      <protection hidden="1"/>
    </xf>
    <xf numFmtId="0" fontId="16" fillId="0" borderId="1" xfId="0" applyFont="1" applyBorder="1" applyProtection="1"/>
    <xf numFmtId="0" fontId="14" fillId="2" borderId="1" xfId="0" applyFont="1" applyFill="1" applyBorder="1" applyAlignment="1" applyProtection="1">
      <alignment horizontal="center" vertical="center" wrapText="1"/>
    </xf>
    <xf numFmtId="0" fontId="14" fillId="2" borderId="1" xfId="38" applyFont="1" applyFill="1" applyBorder="1" applyAlignment="1" applyProtection="1">
      <alignment horizontal="center" vertical="center" wrapText="1"/>
    </xf>
    <xf numFmtId="0" fontId="13" fillId="0" borderId="1" xfId="0" applyFont="1" applyBorder="1" applyAlignment="1" applyProtection="1">
      <alignment vertical="top"/>
    </xf>
    <xf numFmtId="0" fontId="13" fillId="2" borderId="1" xfId="38" applyFont="1" applyFill="1" applyBorder="1" applyAlignment="1" applyProtection="1">
      <alignment horizontal="left" vertical="top" wrapText="1"/>
    </xf>
    <xf numFmtId="0" fontId="13" fillId="2" borderId="1" xfId="38" applyFont="1" applyFill="1" applyBorder="1" applyAlignment="1" applyProtection="1">
      <alignment horizontal="center" vertical="center" wrapText="1"/>
    </xf>
    <xf numFmtId="0" fontId="25" fillId="2" borderId="1" xfId="38" applyFont="1" applyFill="1" applyBorder="1" applyAlignment="1" applyProtection="1">
      <alignment horizontal="center" vertical="top" wrapText="1"/>
    </xf>
    <xf numFmtId="0" fontId="13" fillId="2" borderId="1" xfId="0" applyFont="1" applyFill="1" applyBorder="1" applyAlignment="1" applyProtection="1">
      <alignment horizontal="left" vertical="top" wrapText="1"/>
    </xf>
    <xf numFmtId="0" fontId="13" fillId="0" borderId="1" xfId="38" applyFont="1" applyBorder="1" applyAlignment="1" applyProtection="1">
      <alignment vertical="top" wrapText="1"/>
    </xf>
    <xf numFmtId="0" fontId="13" fillId="2" borderId="1" xfId="38" applyFont="1" applyFill="1" applyBorder="1" applyAlignment="1" applyProtection="1">
      <alignment horizontal="center" vertical="center"/>
    </xf>
    <xf numFmtId="0" fontId="14" fillId="2" borderId="0" xfId="38" applyFont="1" applyFill="1" applyProtection="1">
      <protection locked="0"/>
    </xf>
    <xf numFmtId="0" fontId="13" fillId="2" borderId="0" xfId="38" applyFont="1" applyFill="1" applyProtection="1">
      <protection locked="0"/>
    </xf>
    <xf numFmtId="0" fontId="13" fillId="2" borderId="0" xfId="38" applyFont="1" applyFill="1" applyAlignment="1" applyProtection="1">
      <alignment horizontal="center"/>
      <protection locked="0"/>
    </xf>
    <xf numFmtId="0" fontId="14" fillId="2" borderId="0" xfId="38" applyFont="1" applyFill="1" applyAlignment="1" applyProtection="1">
      <alignment horizontal="left"/>
    </xf>
    <xf numFmtId="0" fontId="14" fillId="2" borderId="0" xfId="38" applyFont="1" applyFill="1" applyAlignment="1" applyProtection="1">
      <alignment horizontal="left"/>
      <protection locked="0"/>
    </xf>
    <xf numFmtId="0" fontId="13" fillId="2" borderId="0" xfId="38" applyFont="1" applyFill="1" applyProtection="1"/>
    <xf numFmtId="0" fontId="16" fillId="0" borderId="0" xfId="0" applyFont="1" applyBorder="1"/>
    <xf numFmtId="0" fontId="13" fillId="2" borderId="1" xfId="0" applyFont="1" applyFill="1" applyBorder="1" applyAlignment="1" applyProtection="1">
      <alignment vertical="top"/>
    </xf>
    <xf numFmtId="10" fontId="13" fillId="3" borderId="1" xfId="38" applyNumberFormat="1" applyFont="1" applyFill="1" applyBorder="1" applyAlignment="1" applyProtection="1">
      <alignment horizontal="center" vertical="center" wrapText="1"/>
    </xf>
    <xf numFmtId="0" fontId="14" fillId="2" borderId="1" xfId="26" applyFont="1" applyFill="1" applyBorder="1" applyAlignment="1" applyProtection="1">
      <alignment horizontal="center" vertical="center" wrapText="1"/>
    </xf>
    <xf numFmtId="0" fontId="14" fillId="2" borderId="1" xfId="26" applyFont="1" applyFill="1" applyBorder="1" applyAlignment="1" applyProtection="1">
      <alignment horizontal="center" vertical="center"/>
    </xf>
    <xf numFmtId="1" fontId="13" fillId="2" borderId="1" xfId="26" applyNumberFormat="1" applyFont="1" applyFill="1" applyBorder="1" applyAlignment="1" applyProtection="1">
      <alignment horizontal="left" vertical="top"/>
    </xf>
    <xf numFmtId="1" fontId="13" fillId="2" borderId="1" xfId="26" applyNumberFormat="1" applyFont="1" applyFill="1" applyBorder="1" applyAlignment="1" applyProtection="1">
      <alignment horizontal="left" vertical="top" indent="2"/>
    </xf>
    <xf numFmtId="3" fontId="14" fillId="3" borderId="1" xfId="26" applyNumberFormat="1" applyFont="1" applyFill="1" applyBorder="1" applyAlignment="1" applyProtection="1">
      <alignment horizontal="right"/>
    </xf>
    <xf numFmtId="16" fontId="13" fillId="2" borderId="1" xfId="26" applyNumberFormat="1" applyFont="1" applyFill="1" applyBorder="1" applyAlignment="1" applyProtection="1">
      <alignment horizontal="left" vertical="top"/>
    </xf>
    <xf numFmtId="1" fontId="13" fillId="2" borderId="1" xfId="26" applyNumberFormat="1" applyFont="1" applyFill="1" applyBorder="1" applyAlignment="1" applyProtection="1">
      <alignment horizontal="left" vertical="top" wrapText="1" indent="2"/>
    </xf>
    <xf numFmtId="40" fontId="13" fillId="2" borderId="1" xfId="26" applyNumberFormat="1" applyFont="1" applyFill="1" applyBorder="1" applyAlignment="1" applyProtection="1">
      <alignment horizontal="left" vertical="top" wrapText="1" indent="2"/>
    </xf>
    <xf numFmtId="0" fontId="13" fillId="2" borderId="1" xfId="26" applyFont="1" applyFill="1" applyBorder="1" applyAlignment="1" applyProtection="1">
      <alignment horizontal="left" vertical="top" wrapText="1" indent="2"/>
    </xf>
    <xf numFmtId="0" fontId="13" fillId="2" borderId="1" xfId="26" applyFont="1" applyFill="1" applyBorder="1" applyAlignment="1" applyProtection="1">
      <alignment horizontal="left" vertical="top" indent="2"/>
    </xf>
    <xf numFmtId="40" fontId="14" fillId="2" borderId="1" xfId="26" applyNumberFormat="1" applyFont="1" applyFill="1" applyBorder="1" applyAlignment="1" applyProtection="1">
      <alignment horizontal="center" vertical="top"/>
    </xf>
    <xf numFmtId="0" fontId="13" fillId="2" borderId="0" xfId="26" applyFont="1" applyFill="1" applyProtection="1">
      <protection locked="0"/>
    </xf>
    <xf numFmtId="0" fontId="13" fillId="2" borderId="0" xfId="26" applyFont="1" applyFill="1" applyProtection="1"/>
    <xf numFmtId="0" fontId="14" fillId="2" borderId="0" xfId="26" applyFont="1" applyFill="1" applyProtection="1"/>
    <xf numFmtId="0" fontId="13" fillId="2" borderId="0" xfId="26" applyFont="1" applyFill="1" applyAlignment="1" applyProtection="1">
      <alignment horizontal="center"/>
      <protection locked="0"/>
    </xf>
    <xf numFmtId="0" fontId="13" fillId="2" borderId="0" xfId="26" applyFont="1" applyFill="1" applyBorder="1" applyProtection="1"/>
    <xf numFmtId="0" fontId="15" fillId="2" borderId="0" xfId="26" applyFont="1" applyFill="1" applyBorder="1" applyAlignment="1" applyProtection="1">
      <alignment horizontal="center" wrapText="1"/>
    </xf>
    <xf numFmtId="40" fontId="14" fillId="2" borderId="0" xfId="26" applyNumberFormat="1" applyFont="1" applyFill="1" applyBorder="1" applyAlignment="1" applyProtection="1">
      <alignment horizontal="center"/>
    </xf>
    <xf numFmtId="37" fontId="13" fillId="2" borderId="0" xfId="26" applyNumberFormat="1" applyFont="1" applyFill="1" applyBorder="1" applyProtection="1"/>
    <xf numFmtId="0" fontId="13" fillId="0" borderId="0" xfId="26" applyFont="1" applyFill="1" applyProtection="1">
      <protection hidden="1"/>
    </xf>
    <xf numFmtId="0" fontId="13" fillId="0" borderId="0" xfId="26" applyFont="1" applyFill="1" applyProtection="1"/>
    <xf numFmtId="0" fontId="14" fillId="2" borderId="1" xfId="25" applyFont="1" applyFill="1" applyBorder="1" applyAlignment="1" applyProtection="1">
      <alignment horizontal="center" vertical="center" wrapText="1"/>
    </xf>
    <xf numFmtId="0" fontId="14" fillId="2" borderId="1" xfId="25" applyFont="1" applyFill="1" applyBorder="1" applyAlignment="1" applyProtection="1">
      <alignment horizontal="center" vertical="center"/>
    </xf>
    <xf numFmtId="0" fontId="17" fillId="2" borderId="1" xfId="25" applyFont="1" applyFill="1" applyBorder="1" applyAlignment="1" applyProtection="1">
      <alignment horizontal="center" vertical="center"/>
    </xf>
    <xf numFmtId="1" fontId="13" fillId="2" borderId="1" xfId="25" applyNumberFormat="1" applyFont="1" applyFill="1" applyBorder="1" applyAlignment="1" applyProtection="1">
      <alignment horizontal="left" vertical="top"/>
    </xf>
    <xf numFmtId="1" fontId="13" fillId="2" borderId="1" xfId="25" applyNumberFormat="1" applyFont="1" applyFill="1" applyBorder="1" applyAlignment="1" applyProtection="1">
      <alignment horizontal="left" vertical="top" indent="2"/>
    </xf>
    <xf numFmtId="3" fontId="14" fillId="3" borderId="1" xfId="25" applyNumberFormat="1" applyFont="1" applyFill="1" applyBorder="1" applyAlignment="1" applyProtection="1">
      <alignment horizontal="right"/>
    </xf>
    <xf numFmtId="40" fontId="13" fillId="2" borderId="1" xfId="25" applyNumberFormat="1" applyFont="1" applyFill="1" applyBorder="1" applyAlignment="1" applyProtection="1">
      <alignment horizontal="left" vertical="top" wrapText="1" indent="2"/>
    </xf>
    <xf numFmtId="0" fontId="13" fillId="2" borderId="1" xfId="25" applyFont="1" applyFill="1" applyBorder="1" applyAlignment="1" applyProtection="1">
      <alignment horizontal="left" vertical="top" wrapText="1" indent="2"/>
    </xf>
    <xf numFmtId="0" fontId="13" fillId="2" borderId="1" xfId="25" applyFont="1" applyFill="1" applyBorder="1" applyAlignment="1" applyProtection="1">
      <alignment horizontal="left" vertical="top" indent="2"/>
    </xf>
    <xf numFmtId="1" fontId="13" fillId="2" borderId="1" xfId="25" applyNumberFormat="1" applyFont="1" applyFill="1" applyBorder="1" applyAlignment="1" applyProtection="1">
      <alignment horizontal="left" vertical="top" wrapText="1" indent="2"/>
    </xf>
    <xf numFmtId="0" fontId="13" fillId="0" borderId="1" xfId="0" applyFont="1" applyBorder="1" applyAlignment="1" applyProtection="1">
      <alignment horizontal="left" vertical="top" indent="2"/>
    </xf>
    <xf numFmtId="0" fontId="16" fillId="0" borderId="0" xfId="25" applyFont="1" applyAlignment="1" applyProtection="1">
      <alignment horizontal="left" vertical="top"/>
      <protection locked="0"/>
    </xf>
    <xf numFmtId="0" fontId="13" fillId="2" borderId="0" xfId="25" applyFont="1" applyFill="1" applyAlignment="1" applyProtection="1">
      <alignment horizontal="left" vertical="top"/>
      <protection locked="0"/>
    </xf>
    <xf numFmtId="0" fontId="16" fillId="0" borderId="0" xfId="0" applyFont="1" applyAlignment="1" applyProtection="1">
      <alignment horizontal="left" vertical="top"/>
      <protection locked="0"/>
    </xf>
    <xf numFmtId="0" fontId="14" fillId="2" borderId="0" xfId="25" applyFont="1" applyFill="1" applyAlignment="1" applyProtection="1">
      <alignment horizontal="left" vertical="top"/>
      <protection locked="0"/>
    </xf>
    <xf numFmtId="0" fontId="14" fillId="2" borderId="0" xfId="25" applyFont="1" applyFill="1" applyAlignment="1" applyProtection="1">
      <alignment horizontal="left" vertical="top"/>
    </xf>
    <xf numFmtId="0" fontId="13" fillId="2" borderId="0" xfId="25" applyFont="1" applyFill="1" applyAlignment="1" applyProtection="1">
      <alignment horizontal="left" vertical="top"/>
    </xf>
    <xf numFmtId="165" fontId="13" fillId="2" borderId="0" xfId="25" applyNumberFormat="1" applyFont="1" applyFill="1" applyAlignment="1" applyProtection="1">
      <alignment horizontal="left" vertical="top"/>
    </xf>
    <xf numFmtId="0" fontId="16" fillId="0" borderId="0" xfId="25" applyFont="1" applyProtection="1">
      <protection locked="0"/>
    </xf>
    <xf numFmtId="0" fontId="13" fillId="2" borderId="0" xfId="25" applyFont="1" applyFill="1" applyBorder="1" applyProtection="1">
      <protection locked="0"/>
    </xf>
    <xf numFmtId="0" fontId="16" fillId="0" borderId="0" xfId="25" applyFont="1"/>
    <xf numFmtId="0" fontId="14" fillId="2" borderId="1" xfId="27" applyFont="1" applyFill="1" applyBorder="1" applyAlignment="1" applyProtection="1">
      <alignment horizontal="center" vertical="center" wrapText="1"/>
    </xf>
    <xf numFmtId="0" fontId="14" fillId="2" borderId="1" xfId="27" applyFont="1" applyFill="1" applyBorder="1" applyAlignment="1" applyProtection="1">
      <alignment horizontal="center"/>
    </xf>
    <xf numFmtId="0" fontId="13" fillId="2" borderId="1" xfId="27" applyFont="1" applyFill="1" applyBorder="1" applyAlignment="1" applyProtection="1">
      <alignment horizontal="right"/>
    </xf>
    <xf numFmtId="0" fontId="14" fillId="2" borderId="1" xfId="27" applyFont="1" applyFill="1" applyBorder="1" applyAlignment="1" applyProtection="1">
      <alignment horizontal="right"/>
    </xf>
    <xf numFmtId="0" fontId="13" fillId="0" borderId="1" xfId="28" applyFont="1" applyFill="1" applyBorder="1" applyAlignment="1" applyProtection="1">
      <alignment horizontal="left" vertical="top"/>
    </xf>
    <xf numFmtId="0" fontId="13" fillId="2" borderId="1" xfId="27" applyFont="1" applyFill="1" applyBorder="1" applyAlignment="1" applyProtection="1">
      <alignment horizontal="left" vertical="top" wrapText="1"/>
    </xf>
    <xf numFmtId="3" fontId="14" fillId="3" borderId="1" xfId="27" applyNumberFormat="1" applyFont="1" applyFill="1" applyBorder="1" applyAlignment="1" applyProtection="1">
      <alignment horizontal="right"/>
    </xf>
    <xf numFmtId="0" fontId="15" fillId="2" borderId="1" xfId="27" applyFont="1" applyFill="1" applyBorder="1" applyAlignment="1" applyProtection="1">
      <alignment horizontal="left" vertical="top" wrapText="1" indent="2"/>
    </xf>
    <xf numFmtId="0" fontId="14" fillId="2" borderId="1" xfId="27" applyFont="1" applyFill="1" applyBorder="1" applyAlignment="1" applyProtection="1">
      <alignment horizontal="left" vertical="top" wrapText="1"/>
    </xf>
    <xf numFmtId="0" fontId="21" fillId="2" borderId="1" xfId="27" applyFont="1" applyFill="1" applyBorder="1" applyAlignment="1" applyProtection="1">
      <alignment horizontal="left" vertical="top" wrapText="1" indent="2"/>
    </xf>
    <xf numFmtId="0" fontId="14" fillId="2" borderId="1" xfId="28" applyFont="1" applyFill="1" applyBorder="1" applyAlignment="1" applyProtection="1">
      <alignment horizontal="center" vertical="center" wrapText="1"/>
    </xf>
    <xf numFmtId="0" fontId="13" fillId="0" borderId="1" xfId="28" applyFont="1" applyFill="1" applyBorder="1" applyProtection="1"/>
    <xf numFmtId="0" fontId="14" fillId="2" borderId="1" xfId="28" applyFont="1" applyFill="1" applyBorder="1" applyAlignment="1" applyProtection="1">
      <alignment horizontal="center"/>
    </xf>
    <xf numFmtId="0" fontId="14" fillId="2" borderId="1" xfId="28" applyFont="1" applyFill="1" applyBorder="1" applyAlignment="1" applyProtection="1">
      <alignment horizontal="right"/>
    </xf>
    <xf numFmtId="0" fontId="13" fillId="2" borderId="1" xfId="28" applyFont="1" applyFill="1" applyBorder="1" applyAlignment="1" applyProtection="1">
      <alignment horizontal="left" vertical="top" wrapText="1"/>
    </xf>
    <xf numFmtId="3" fontId="14" fillId="3" borderId="1" xfId="28" applyNumberFormat="1" applyFont="1" applyFill="1" applyBorder="1" applyAlignment="1" applyProtection="1">
      <alignment horizontal="right"/>
    </xf>
    <xf numFmtId="0" fontId="14" fillId="2" borderId="1" xfId="28" applyFont="1" applyFill="1" applyBorder="1" applyAlignment="1" applyProtection="1">
      <alignment horizontal="left" vertical="top" wrapText="1"/>
    </xf>
    <xf numFmtId="0" fontId="21" fillId="2" borderId="1" xfId="28" applyFont="1" applyFill="1" applyBorder="1" applyAlignment="1" applyProtection="1">
      <alignment horizontal="left" vertical="top" wrapText="1" indent="2"/>
    </xf>
    <xf numFmtId="0" fontId="13" fillId="0" borderId="1" xfId="40" applyFont="1" applyFill="1" applyBorder="1" applyProtection="1"/>
    <xf numFmtId="0" fontId="14" fillId="2" borderId="1" xfId="40" applyFont="1" applyFill="1" applyBorder="1" applyAlignment="1" applyProtection="1">
      <alignment horizontal="center"/>
    </xf>
    <xf numFmtId="0" fontId="13" fillId="0" borderId="1" xfId="41" applyFont="1" applyFill="1" applyBorder="1" applyProtection="1"/>
    <xf numFmtId="0" fontId="14" fillId="2" borderId="1" xfId="41" applyFont="1" applyFill="1" applyBorder="1" applyAlignment="1" applyProtection="1">
      <alignment horizontal="center"/>
    </xf>
    <xf numFmtId="0" fontId="14" fillId="2" borderId="1" xfId="23" applyFont="1" applyFill="1" applyBorder="1" applyAlignment="1" applyProtection="1">
      <alignment horizontal="center"/>
    </xf>
    <xf numFmtId="0" fontId="13" fillId="0" borderId="1" xfId="23" applyFont="1" applyFill="1" applyBorder="1" applyAlignment="1" applyProtection="1">
      <alignment horizontal="left" vertical="top"/>
    </xf>
    <xf numFmtId="0" fontId="14" fillId="2" borderId="1" xfId="24" applyFont="1" applyFill="1" applyBorder="1" applyAlignment="1" applyProtection="1">
      <alignment vertical="top"/>
    </xf>
    <xf numFmtId="3" fontId="13" fillId="2" borderId="1" xfId="23" applyNumberFormat="1" applyFont="1" applyFill="1" applyBorder="1" applyAlignment="1" applyProtection="1">
      <alignment horizontal="right"/>
    </xf>
    <xf numFmtId="0" fontId="14" fillId="2" borderId="1" xfId="23" applyFont="1" applyFill="1" applyBorder="1" applyAlignment="1" applyProtection="1">
      <alignment vertical="top"/>
    </xf>
    <xf numFmtId="0" fontId="17" fillId="0" borderId="1" xfId="0" applyFont="1" applyBorder="1" applyProtection="1"/>
    <xf numFmtId="3" fontId="14" fillId="2" borderId="1" xfId="23" applyNumberFormat="1" applyFont="1" applyFill="1" applyBorder="1" applyAlignment="1" applyProtection="1">
      <alignment horizontal="right"/>
    </xf>
    <xf numFmtId="0" fontId="13" fillId="2" borderId="1" xfId="23" applyFont="1" applyFill="1" applyBorder="1" applyAlignment="1" applyProtection="1">
      <alignment horizontal="left" vertical="top" indent="2"/>
    </xf>
    <xf numFmtId="3" fontId="14" fillId="3" borderId="1" xfId="23" applyNumberFormat="1" applyFont="1" applyFill="1" applyBorder="1" applyAlignment="1" applyProtection="1">
      <alignment horizontal="right"/>
    </xf>
    <xf numFmtId="0" fontId="14" fillId="0" borderId="1" xfId="24" applyFont="1" applyFill="1" applyBorder="1" applyAlignment="1" applyProtection="1">
      <alignment vertical="top"/>
    </xf>
    <xf numFmtId="0" fontId="13" fillId="0" borderId="1" xfId="24" applyFont="1" applyFill="1" applyBorder="1" applyAlignment="1" applyProtection="1">
      <alignment horizontal="left" vertical="top"/>
    </xf>
    <xf numFmtId="0" fontId="14" fillId="2" borderId="1" xfId="23" applyFont="1" applyFill="1" applyBorder="1" applyAlignment="1" applyProtection="1">
      <alignment horizontal="center" vertical="top"/>
    </xf>
    <xf numFmtId="3" fontId="14" fillId="2" borderId="1" xfId="24" applyNumberFormat="1" applyFont="1" applyFill="1" applyBorder="1" applyAlignment="1" applyProtection="1">
      <alignment horizontal="right"/>
    </xf>
    <xf numFmtId="0" fontId="14" fillId="2" borderId="1" xfId="23" applyFont="1" applyFill="1" applyBorder="1" applyProtection="1"/>
    <xf numFmtId="0" fontId="14" fillId="2" borderId="1" xfId="24" applyFont="1" applyFill="1" applyBorder="1" applyAlignment="1" applyProtection="1">
      <alignment horizontal="center"/>
    </xf>
    <xf numFmtId="3" fontId="13" fillId="2" borderId="1" xfId="24" applyNumberFormat="1" applyFont="1" applyFill="1" applyBorder="1" applyAlignment="1" applyProtection="1">
      <alignment horizontal="right"/>
    </xf>
    <xf numFmtId="3" fontId="14" fillId="3" borderId="1" xfId="24" applyNumberFormat="1" applyFont="1" applyFill="1" applyBorder="1" applyAlignment="1" applyProtection="1">
      <alignment horizontal="right"/>
    </xf>
    <xf numFmtId="0" fontId="16" fillId="2" borderId="1" xfId="0" applyFont="1" applyFill="1" applyBorder="1" applyProtection="1"/>
    <xf numFmtId="0" fontId="14" fillId="0" borderId="0" xfId="24" applyFont="1" applyFill="1" applyBorder="1" applyAlignment="1" applyProtection="1">
      <protection locked="0"/>
    </xf>
    <xf numFmtId="0" fontId="14" fillId="2" borderId="0" xfId="24" applyFont="1" applyFill="1" applyBorder="1" applyAlignment="1" applyProtection="1">
      <alignment horizontal="center" vertical="center"/>
    </xf>
    <xf numFmtId="0" fontId="14" fillId="0" borderId="0" xfId="24" applyFont="1" applyFill="1" applyBorder="1" applyProtection="1">
      <protection locked="0"/>
    </xf>
    <xf numFmtId="0" fontId="14" fillId="2" borderId="0" xfId="24" applyFont="1" applyFill="1" applyBorder="1" applyProtection="1"/>
    <xf numFmtId="3" fontId="13" fillId="2" borderId="0" xfId="24" applyNumberFormat="1" applyFont="1" applyFill="1" applyBorder="1" applyAlignment="1" applyProtection="1">
      <alignment horizontal="right"/>
    </xf>
    <xf numFmtId="0" fontId="14" fillId="2" borderId="1" xfId="24" applyFont="1" applyFill="1" applyBorder="1" applyProtection="1"/>
    <xf numFmtId="0" fontId="14" fillId="4" borderId="1" xfId="24" applyFont="1" applyFill="1" applyBorder="1" applyAlignment="1" applyProtection="1">
      <alignment horizontal="center"/>
    </xf>
    <xf numFmtId="0" fontId="13" fillId="4" borderId="1" xfId="24" applyFont="1" applyFill="1" applyBorder="1" applyAlignment="1" applyProtection="1">
      <alignment horizontal="left" vertical="top"/>
    </xf>
    <xf numFmtId="0" fontId="14" fillId="4" borderId="1" xfId="24" applyFont="1" applyFill="1" applyBorder="1" applyAlignment="1" applyProtection="1">
      <alignment vertical="top"/>
    </xf>
    <xf numFmtId="3" fontId="13" fillId="4" borderId="1" xfId="24" applyNumberFormat="1" applyFont="1" applyFill="1" applyBorder="1" applyAlignment="1" applyProtection="1">
      <alignment horizontal="right"/>
    </xf>
    <xf numFmtId="0" fontId="14" fillId="4" borderId="1" xfId="23" applyFont="1" applyFill="1" applyBorder="1" applyAlignment="1" applyProtection="1">
      <alignment vertical="top"/>
    </xf>
    <xf numFmtId="0" fontId="16" fillId="4" borderId="1" xfId="0" applyFont="1" applyFill="1" applyBorder="1" applyProtection="1"/>
    <xf numFmtId="0" fontId="13" fillId="4" borderId="1" xfId="23" applyFont="1" applyFill="1" applyBorder="1" applyAlignment="1" applyProtection="1">
      <alignment horizontal="left" vertical="top" indent="2"/>
    </xf>
    <xf numFmtId="3" fontId="14" fillId="4" borderId="1" xfId="23" applyNumberFormat="1" applyFont="1" applyFill="1" applyBorder="1" applyAlignment="1" applyProtection="1">
      <alignment horizontal="right"/>
      <protection locked="0"/>
    </xf>
    <xf numFmtId="3" fontId="14" fillId="5" borderId="1" xfId="24" applyNumberFormat="1" applyFont="1" applyFill="1" applyBorder="1" applyAlignment="1" applyProtection="1">
      <alignment horizontal="right"/>
    </xf>
    <xf numFmtId="3" fontId="14" fillId="4" borderId="1" xfId="24" applyNumberFormat="1" applyFont="1" applyFill="1" applyBorder="1" applyAlignment="1" applyProtection="1">
      <alignment horizontal="right"/>
    </xf>
    <xf numFmtId="0" fontId="14" fillId="4" borderId="1" xfId="23" applyFont="1" applyFill="1" applyBorder="1" applyAlignment="1" applyProtection="1">
      <alignment horizontal="center" vertical="top"/>
    </xf>
    <xf numFmtId="3" fontId="14" fillId="5" borderId="1" xfId="23" applyNumberFormat="1" applyFont="1" applyFill="1" applyBorder="1" applyAlignment="1" applyProtection="1">
      <alignment horizontal="right"/>
    </xf>
    <xf numFmtId="0" fontId="14" fillId="4" borderId="1" xfId="24" applyFont="1" applyFill="1" applyBorder="1" applyProtection="1"/>
    <xf numFmtId="0" fontId="14" fillId="2" borderId="1" xfId="16" applyFont="1" applyFill="1" applyBorder="1" applyAlignment="1" applyProtection="1">
      <alignment horizontal="center" vertical="center"/>
    </xf>
    <xf numFmtId="0" fontId="14" fillId="2" borderId="1" xfId="16" applyFont="1" applyFill="1" applyBorder="1" applyAlignment="1" applyProtection="1">
      <alignment horizontal="center" vertical="center" wrapText="1"/>
    </xf>
    <xf numFmtId="1" fontId="13" fillId="2" borderId="1" xfId="16" applyNumberFormat="1" applyFont="1" applyFill="1" applyBorder="1" applyAlignment="1" applyProtection="1">
      <alignment horizontal="left" vertical="top"/>
    </xf>
    <xf numFmtId="0" fontId="13" fillId="0" borderId="1" xfId="16" applyFont="1" applyFill="1" applyBorder="1" applyAlignment="1" applyProtection="1">
      <alignment horizontal="left" vertical="top" wrapText="1" indent="2"/>
    </xf>
    <xf numFmtId="3" fontId="14" fillId="0" borderId="1" xfId="16" applyNumberFormat="1" applyFont="1" applyFill="1" applyBorder="1" applyAlignment="1" applyProtection="1">
      <alignment horizontal="right"/>
      <protection locked="0"/>
    </xf>
    <xf numFmtId="9" fontId="13" fillId="0" borderId="1" xfId="16" applyNumberFormat="1" applyFont="1" applyFill="1" applyBorder="1" applyAlignment="1" applyProtection="1">
      <alignment horizontal="center"/>
    </xf>
    <xf numFmtId="3" fontId="14" fillId="3" borderId="1" xfId="16" applyNumberFormat="1" applyFont="1" applyFill="1" applyBorder="1" applyAlignment="1" applyProtection="1">
      <alignment horizontal="right"/>
    </xf>
    <xf numFmtId="166" fontId="13" fillId="2" borderId="1" xfId="16" applyNumberFormat="1" applyFont="1" applyFill="1" applyBorder="1" applyAlignment="1" applyProtection="1">
      <alignment horizontal="left" vertical="top"/>
    </xf>
    <xf numFmtId="0" fontId="14" fillId="0" borderId="1" xfId="16" applyFont="1" applyFill="1" applyBorder="1" applyAlignment="1" applyProtection="1">
      <alignment horizontal="left" vertical="top" wrapText="1"/>
    </xf>
    <xf numFmtId="9" fontId="13" fillId="2" borderId="1" xfId="16" applyNumberFormat="1" applyFont="1" applyFill="1" applyBorder="1" applyAlignment="1" applyProtection="1">
      <alignment horizontal="center"/>
    </xf>
    <xf numFmtId="0" fontId="14" fillId="2" borderId="1" xfId="16" applyFont="1" applyFill="1" applyBorder="1" applyAlignment="1" applyProtection="1">
      <alignment horizontal="left" vertical="top" wrapText="1"/>
    </xf>
    <xf numFmtId="0" fontId="14" fillId="2" borderId="1" xfId="17" applyFont="1" applyFill="1" applyBorder="1" applyAlignment="1" applyProtection="1">
      <alignment horizontal="center" vertical="center"/>
    </xf>
    <xf numFmtId="0" fontId="14" fillId="0" borderId="1" xfId="0" applyFont="1" applyBorder="1" applyAlignment="1" applyProtection="1">
      <alignment horizontal="center" vertical="center"/>
    </xf>
    <xf numFmtId="49" fontId="13" fillId="2" borderId="1" xfId="17" applyNumberFormat="1" applyFont="1" applyFill="1" applyBorder="1" applyAlignment="1" applyProtection="1">
      <alignment horizontal="left" vertical="top"/>
    </xf>
    <xf numFmtId="0" fontId="13" fillId="0" borderId="1" xfId="42" applyFont="1" applyFill="1" applyBorder="1" applyAlignment="1" applyProtection="1">
      <alignment horizontal="left" vertical="top" wrapText="1"/>
    </xf>
    <xf numFmtId="9" fontId="13" fillId="0" borderId="1" xfId="17" applyNumberFormat="1" applyFont="1" applyFill="1" applyBorder="1" applyAlignment="1" applyProtection="1">
      <alignment horizontal="center"/>
    </xf>
    <xf numFmtId="3" fontId="14" fillId="3" borderId="1" xfId="17" applyNumberFormat="1" applyFont="1" applyFill="1" applyBorder="1" applyAlignment="1" applyProtection="1">
      <alignment horizontal="right"/>
    </xf>
    <xf numFmtId="166" fontId="13" fillId="2" borderId="1" xfId="17" applyNumberFormat="1" applyFont="1" applyFill="1" applyBorder="1" applyAlignment="1" applyProtection="1">
      <alignment horizontal="left" vertical="top"/>
    </xf>
    <xf numFmtId="0" fontId="13" fillId="0" borderId="1" xfId="17" applyFont="1" applyFill="1" applyBorder="1" applyAlignment="1" applyProtection="1">
      <alignment horizontal="left" vertical="top" wrapText="1"/>
    </xf>
    <xf numFmtId="0" fontId="13" fillId="2" borderId="1" xfId="17" applyFont="1" applyFill="1" applyBorder="1" applyAlignment="1" applyProtection="1">
      <alignment horizontal="left" vertical="top" wrapText="1"/>
    </xf>
    <xf numFmtId="9" fontId="13" fillId="2" borderId="1" xfId="17" applyNumberFormat="1" applyFont="1" applyFill="1" applyBorder="1" applyAlignment="1" applyProtection="1">
      <alignment horizontal="center"/>
    </xf>
    <xf numFmtId="0" fontId="13" fillId="0" borderId="1" xfId="1" applyFont="1" applyBorder="1" applyAlignment="1" applyProtection="1">
      <alignment horizontal="left" vertical="top" wrapText="1"/>
    </xf>
    <xf numFmtId="0" fontId="14" fillId="2" borderId="1" xfId="18" applyFont="1" applyFill="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0" fontId="14" fillId="2" borderId="1" xfId="16" applyFont="1" applyFill="1" applyBorder="1" applyAlignment="1" applyProtection="1">
      <alignment horizontal="center" vertical="center" wrapText="1"/>
      <protection hidden="1"/>
    </xf>
    <xf numFmtId="49" fontId="13" fillId="2" borderId="1" xfId="18" applyNumberFormat="1" applyFont="1" applyFill="1" applyBorder="1" applyAlignment="1" applyProtection="1">
      <alignment horizontal="left" vertical="top"/>
      <protection hidden="1"/>
    </xf>
    <xf numFmtId="0" fontId="14" fillId="2" borderId="1" xfId="18" applyFont="1" applyFill="1" applyBorder="1" applyAlignment="1" applyProtection="1">
      <alignment horizontal="left" vertical="top"/>
      <protection hidden="1"/>
    </xf>
    <xf numFmtId="3" fontId="14" fillId="3" borderId="1" xfId="18" applyNumberFormat="1" applyFont="1" applyFill="1" applyBorder="1" applyAlignment="1" applyProtection="1">
      <alignment horizontal="right"/>
      <protection hidden="1"/>
    </xf>
    <xf numFmtId="0" fontId="13" fillId="2" borderId="1" xfId="18" applyFont="1" applyFill="1" applyBorder="1" applyAlignment="1" applyProtection="1">
      <alignment horizontal="center"/>
      <protection hidden="1"/>
    </xf>
    <xf numFmtId="166" fontId="13" fillId="2" borderId="1" xfId="18" applyNumberFormat="1" applyFont="1" applyFill="1" applyBorder="1" applyAlignment="1" applyProtection="1">
      <alignment horizontal="left" vertical="top"/>
      <protection hidden="1"/>
    </xf>
    <xf numFmtId="0" fontId="13" fillId="0" borderId="1" xfId="18" applyFont="1" applyFill="1" applyBorder="1" applyAlignment="1" applyProtection="1">
      <alignment horizontal="left" vertical="top" indent="2"/>
      <protection hidden="1"/>
    </xf>
    <xf numFmtId="3" fontId="14" fillId="0" borderId="1" xfId="18" applyNumberFormat="1" applyFont="1" applyFill="1" applyBorder="1" applyAlignment="1" applyProtection="1">
      <alignment horizontal="right"/>
      <protection locked="0"/>
    </xf>
    <xf numFmtId="9" fontId="13" fillId="0" borderId="1" xfId="18" applyNumberFormat="1" applyFont="1" applyFill="1" applyBorder="1" applyAlignment="1" applyProtection="1">
      <alignment horizontal="center"/>
      <protection hidden="1"/>
    </xf>
    <xf numFmtId="0" fontId="13" fillId="0" borderId="1" xfId="42" applyFont="1" applyFill="1" applyBorder="1" applyAlignment="1" applyProtection="1">
      <alignment horizontal="left" vertical="top" wrapText="1" indent="2"/>
      <protection hidden="1"/>
    </xf>
    <xf numFmtId="2" fontId="13" fillId="0" borderId="1" xfId="18" applyNumberFormat="1" applyFont="1" applyFill="1" applyBorder="1" applyAlignment="1" applyProtection="1">
      <alignment horizontal="left" vertical="top" indent="2"/>
      <protection hidden="1"/>
    </xf>
    <xf numFmtId="0" fontId="13" fillId="0" borderId="1" xfId="18" applyFont="1" applyFill="1" applyBorder="1" applyAlignment="1" applyProtection="1">
      <alignment horizontal="left" vertical="top" wrapText="1" indent="2"/>
      <protection hidden="1"/>
    </xf>
    <xf numFmtId="9" fontId="13" fillId="2" borderId="1" xfId="18" applyNumberFormat="1" applyFont="1" applyFill="1" applyBorder="1" applyAlignment="1" applyProtection="1">
      <alignment horizontal="center"/>
      <protection hidden="1"/>
    </xf>
    <xf numFmtId="2" fontId="14" fillId="2" borderId="1" xfId="18" applyNumberFormat="1" applyFont="1" applyFill="1" applyBorder="1" applyAlignment="1" applyProtection="1">
      <alignment horizontal="left" vertical="top"/>
      <protection hidden="1"/>
    </xf>
    <xf numFmtId="0" fontId="14" fillId="2" borderId="1" xfId="18" applyFont="1" applyFill="1" applyBorder="1" applyAlignment="1" applyProtection="1">
      <alignment horizontal="left" vertical="top" wrapText="1"/>
      <protection hidden="1"/>
    </xf>
    <xf numFmtId="10" fontId="14" fillId="3" borderId="1" xfId="18" applyNumberFormat="1" applyFont="1" applyFill="1" applyBorder="1" applyAlignment="1" applyProtection="1">
      <alignment horizontal="right"/>
      <protection hidden="1"/>
    </xf>
    <xf numFmtId="0" fontId="14" fillId="0" borderId="1" xfId="18" applyFont="1" applyFill="1" applyBorder="1" applyAlignment="1" applyProtection="1">
      <alignment horizontal="left" vertical="top"/>
      <protection hidden="1"/>
    </xf>
    <xf numFmtId="3" fontId="14" fillId="0" borderId="1" xfId="0" applyNumberFormat="1" applyFont="1" applyFill="1" applyBorder="1" applyProtection="1">
      <protection locked="0"/>
    </xf>
    <xf numFmtId="49" fontId="14" fillId="2" borderId="1" xfId="19" applyNumberFormat="1" applyFont="1" applyFill="1" applyBorder="1" applyAlignment="1" applyProtection="1">
      <alignment horizontal="center" vertical="center"/>
    </xf>
    <xf numFmtId="0" fontId="14" fillId="2" borderId="1" xfId="19" applyFont="1" applyFill="1" applyBorder="1" applyAlignment="1" applyProtection="1">
      <alignment horizontal="center" vertical="center" wrapText="1"/>
    </xf>
    <xf numFmtId="0" fontId="13" fillId="0" borderId="1" xfId="0" applyFont="1" applyBorder="1" applyAlignment="1" applyProtection="1">
      <alignment horizontal="left" vertical="top"/>
    </xf>
    <xf numFmtId="0" fontId="13" fillId="0" borderId="1" xfId="19" applyFont="1" applyFill="1" applyBorder="1" applyAlignment="1" applyProtection="1">
      <alignment horizontal="left" vertical="top" wrapText="1"/>
    </xf>
    <xf numFmtId="9" fontId="13" fillId="0" borderId="1" xfId="19" applyNumberFormat="1" applyFont="1" applyFill="1" applyBorder="1" applyAlignment="1" applyProtection="1">
      <alignment horizontal="center"/>
    </xf>
    <xf numFmtId="3" fontId="14" fillId="3" borderId="1" xfId="19" applyNumberFormat="1" applyFont="1" applyFill="1" applyBorder="1" applyAlignment="1" applyProtection="1">
      <alignment horizontal="right"/>
    </xf>
    <xf numFmtId="49" fontId="13" fillId="2" borderId="1" xfId="19" applyNumberFormat="1" applyFont="1" applyFill="1" applyBorder="1" applyAlignment="1" applyProtection="1">
      <alignment horizontal="left" vertical="top"/>
    </xf>
    <xf numFmtId="0" fontId="13" fillId="0" borderId="1" xfId="19" applyFont="1" applyFill="1" applyBorder="1" applyAlignment="1" applyProtection="1">
      <alignment horizontal="left" vertical="top"/>
    </xf>
    <xf numFmtId="1" fontId="13" fillId="2" borderId="1" xfId="19" applyNumberFormat="1" applyFont="1" applyFill="1" applyBorder="1" applyAlignment="1" applyProtection="1">
      <alignment horizontal="left" vertical="top"/>
    </xf>
    <xf numFmtId="166" fontId="13" fillId="2" borderId="1" xfId="19" applyNumberFormat="1" applyFont="1" applyFill="1" applyBorder="1" applyAlignment="1" applyProtection="1">
      <alignment horizontal="left" vertical="top"/>
    </xf>
    <xf numFmtId="0" fontId="13" fillId="0" borderId="1" xfId="1" applyFont="1" applyFill="1" applyBorder="1" applyAlignment="1" applyProtection="1">
      <alignment horizontal="left" vertical="top"/>
    </xf>
    <xf numFmtId="0" fontId="13" fillId="2" borderId="1" xfId="1" applyFont="1" applyFill="1" applyBorder="1" applyAlignment="1" applyProtection="1">
      <alignment horizontal="left" vertical="top"/>
    </xf>
    <xf numFmtId="0" fontId="13" fillId="0" borderId="1" xfId="1" applyFont="1" applyFill="1" applyBorder="1" applyAlignment="1" applyProtection="1">
      <alignment horizontal="left" vertical="top" wrapText="1"/>
    </xf>
    <xf numFmtId="0" fontId="13" fillId="2" borderId="1" xfId="44" applyFont="1" applyFill="1" applyBorder="1" applyAlignment="1" applyProtection="1">
      <alignment horizontal="left" vertical="top"/>
    </xf>
    <xf numFmtId="0" fontId="13" fillId="0" borderId="1" xfId="1" applyFont="1" applyBorder="1" applyAlignment="1" applyProtection="1">
      <alignment horizontal="left" vertical="top"/>
    </xf>
    <xf numFmtId="0" fontId="13" fillId="0" borderId="1" xfId="43" applyFont="1" applyFill="1" applyBorder="1" applyAlignment="1" applyProtection="1">
      <alignment horizontal="left" vertical="top"/>
    </xf>
    <xf numFmtId="0" fontId="14" fillId="0" borderId="1" xfId="19" applyFont="1" applyFill="1" applyBorder="1" applyAlignment="1" applyProtection="1">
      <alignment horizontal="left" vertical="top"/>
    </xf>
    <xf numFmtId="0" fontId="13" fillId="2" borderId="1" xfId="19" applyFont="1" applyFill="1" applyBorder="1" applyAlignment="1" applyProtection="1">
      <alignment horizontal="left" vertical="top" wrapText="1"/>
    </xf>
    <xf numFmtId="9" fontId="13" fillId="2" borderId="1" xfId="19" applyNumberFormat="1" applyFont="1" applyFill="1" applyBorder="1" applyAlignment="1" applyProtection="1">
      <alignment horizontal="center"/>
    </xf>
    <xf numFmtId="0" fontId="14" fillId="0" borderId="1" xfId="0" applyFont="1" applyBorder="1" applyAlignment="1" applyProtection="1">
      <alignment horizontal="center" vertical="top"/>
    </xf>
    <xf numFmtId="3" fontId="14" fillId="3" borderId="1" xfId="19" applyNumberFormat="1" applyFont="1" applyFill="1" applyBorder="1" applyAlignment="1" applyProtection="1"/>
    <xf numFmtId="0" fontId="14" fillId="2" borderId="0" xfId="19" applyNumberFormat="1" applyFont="1" applyFill="1" applyProtection="1">
      <protection locked="0"/>
    </xf>
    <xf numFmtId="0" fontId="13" fillId="2" borderId="0" xfId="1" applyNumberFormat="1" applyFont="1" applyFill="1" applyProtection="1">
      <protection locked="0"/>
    </xf>
    <xf numFmtId="0" fontId="13" fillId="2" borderId="0" xfId="1" applyFont="1" applyFill="1" applyProtection="1">
      <protection locked="0"/>
    </xf>
    <xf numFmtId="0" fontId="13" fillId="2" borderId="0" xfId="19" applyFont="1" applyFill="1" applyAlignment="1" applyProtection="1">
      <alignment horizontal="left"/>
      <protection locked="0"/>
    </xf>
    <xf numFmtId="0" fontId="13" fillId="0" borderId="0" xfId="1" applyFont="1" applyProtection="1">
      <protection locked="0" hidden="1"/>
    </xf>
    <xf numFmtId="0" fontId="13" fillId="2" borderId="0" xfId="19" applyFont="1" applyFill="1" applyProtection="1">
      <protection locked="0"/>
    </xf>
    <xf numFmtId="0" fontId="14" fillId="2" borderId="0" xfId="1" applyFont="1" applyFill="1" applyProtection="1"/>
    <xf numFmtId="49" fontId="13" fillId="2" borderId="0" xfId="1" applyNumberFormat="1" applyFont="1" applyFill="1" applyBorder="1" applyAlignment="1" applyProtection="1">
      <alignment horizontal="left"/>
      <protection locked="0"/>
    </xf>
    <xf numFmtId="0" fontId="13" fillId="2" borderId="0" xfId="1" applyFont="1" applyFill="1" applyBorder="1" applyAlignment="1" applyProtection="1">
      <alignment horizontal="left" wrapText="1"/>
      <protection locked="0"/>
    </xf>
    <xf numFmtId="0" fontId="13" fillId="2" borderId="0" xfId="1" applyFont="1" applyFill="1" applyBorder="1" applyProtection="1">
      <protection locked="0"/>
    </xf>
    <xf numFmtId="9" fontId="13" fillId="2" borderId="0" xfId="1" applyNumberFormat="1" applyFont="1" applyFill="1" applyAlignment="1" applyProtection="1">
      <alignment horizontal="center"/>
      <protection locked="0"/>
    </xf>
    <xf numFmtId="9" fontId="13" fillId="2" borderId="0" xfId="1" applyNumberFormat="1" applyFont="1" applyFill="1" applyBorder="1" applyAlignment="1" applyProtection="1">
      <alignment horizontal="center"/>
      <protection locked="0"/>
    </xf>
    <xf numFmtId="0" fontId="13" fillId="0" borderId="0" xfId="1" applyFont="1" applyAlignment="1" applyProtection="1">
      <alignment horizontal="center" vertical="center"/>
      <protection hidden="1"/>
    </xf>
    <xf numFmtId="0" fontId="16" fillId="0" borderId="0" xfId="0" applyFont="1" applyAlignment="1">
      <alignment horizontal="center" vertical="center"/>
    </xf>
    <xf numFmtId="0" fontId="13" fillId="0" borderId="0" xfId="1" applyFont="1" applyProtection="1">
      <protection hidden="1"/>
    </xf>
    <xf numFmtId="0" fontId="13" fillId="0" borderId="0" xfId="19" applyFont="1" applyProtection="1">
      <protection hidden="1"/>
    </xf>
    <xf numFmtId="0" fontId="16" fillId="0" borderId="0" xfId="19" applyFont="1"/>
    <xf numFmtId="3" fontId="16" fillId="0" borderId="0" xfId="0" applyNumberFormat="1" applyFont="1"/>
    <xf numFmtId="3" fontId="14" fillId="2" borderId="1" xfId="20" applyNumberFormat="1" applyFont="1" applyFill="1" applyBorder="1" applyAlignment="1" applyProtection="1">
      <alignment horizontal="right"/>
      <protection locked="0"/>
    </xf>
    <xf numFmtId="3" fontId="14" fillId="2" borderId="1" xfId="20" applyNumberFormat="1" applyFont="1" applyFill="1" applyBorder="1" applyProtection="1">
      <protection locked="0"/>
    </xf>
    <xf numFmtId="0" fontId="13" fillId="2" borderId="0" xfId="20" applyFont="1" applyFill="1" applyProtection="1">
      <protection locked="0"/>
    </xf>
    <xf numFmtId="0" fontId="14" fillId="2" borderId="0" xfId="20" applyFont="1" applyFill="1" applyProtection="1">
      <protection locked="0"/>
    </xf>
    <xf numFmtId="49" fontId="13" fillId="2" borderId="0" xfId="20" applyNumberFormat="1" applyFont="1" applyFill="1" applyAlignment="1" applyProtection="1">
      <alignment horizontal="left"/>
      <protection locked="0"/>
    </xf>
    <xf numFmtId="0" fontId="15" fillId="2" borderId="0" xfId="20" applyFont="1" applyFill="1" applyAlignment="1" applyProtection="1">
      <alignment horizontal="center"/>
      <protection locked="0"/>
    </xf>
    <xf numFmtId="0" fontId="14" fillId="2" borderId="0" xfId="20" applyFont="1" applyFill="1" applyProtection="1"/>
    <xf numFmtId="0" fontId="13" fillId="0" borderId="1" xfId="31" applyFont="1" applyBorder="1" applyProtection="1"/>
    <xf numFmtId="0" fontId="14" fillId="2" borderId="1" xfId="31" applyFont="1" applyFill="1" applyBorder="1" applyProtection="1"/>
    <xf numFmtId="0" fontId="14" fillId="2" borderId="1" xfId="31" applyFont="1" applyFill="1" applyBorder="1" applyAlignment="1" applyProtection="1">
      <alignment horizontal="center" wrapText="1"/>
    </xf>
    <xf numFmtId="0" fontId="13" fillId="0" borderId="1" xfId="31" applyFont="1" applyBorder="1" applyAlignment="1" applyProtection="1">
      <alignment horizontal="left" vertical="top"/>
    </xf>
    <xf numFmtId="0" fontId="14" fillId="2" borderId="1" xfId="31" applyFont="1" applyFill="1" applyBorder="1" applyAlignment="1" applyProtection="1">
      <alignment horizontal="left" vertical="top"/>
    </xf>
    <xf numFmtId="3" fontId="14" fillId="2" borderId="1" xfId="31" applyNumberFormat="1" applyFont="1" applyFill="1" applyBorder="1" applyAlignment="1" applyProtection="1">
      <alignment horizontal="right"/>
      <protection locked="0"/>
    </xf>
    <xf numFmtId="3" fontId="14" fillId="2" borderId="1" xfId="31" applyNumberFormat="1" applyFont="1" applyFill="1" applyBorder="1" applyAlignment="1" applyProtection="1">
      <alignment horizontal="right"/>
    </xf>
    <xf numFmtId="0" fontId="13" fillId="2" borderId="1" xfId="31" applyFont="1" applyFill="1" applyBorder="1" applyAlignment="1" applyProtection="1">
      <alignment horizontal="left" vertical="top" indent="2"/>
    </xf>
    <xf numFmtId="3" fontId="14" fillId="2" borderId="1" xfId="31" applyNumberFormat="1" applyFont="1" applyFill="1" applyBorder="1" applyProtection="1">
      <protection locked="0"/>
    </xf>
    <xf numFmtId="3" fontId="14" fillId="3" borderId="1" xfId="31" applyNumberFormat="1" applyFont="1" applyFill="1" applyBorder="1" applyProtection="1"/>
    <xf numFmtId="0" fontId="13" fillId="2" borderId="1" xfId="31" applyFont="1" applyFill="1" applyBorder="1" applyAlignment="1" applyProtection="1">
      <alignment horizontal="left" vertical="top"/>
    </xf>
    <xf numFmtId="3" fontId="14" fillId="2" borderId="1" xfId="31" applyNumberFormat="1" applyFont="1" applyFill="1" applyBorder="1" applyProtection="1"/>
    <xf numFmtId="0" fontId="13" fillId="2" borderId="1" xfId="31" applyFont="1" applyFill="1" applyBorder="1" applyAlignment="1" applyProtection="1">
      <alignment horizontal="left" vertical="top" wrapText="1" indent="2"/>
    </xf>
    <xf numFmtId="0" fontId="13" fillId="0" borderId="0" xfId="31" applyFont="1" applyProtection="1">
      <protection locked="0"/>
    </xf>
    <xf numFmtId="0" fontId="13" fillId="0" borderId="0" xfId="31" applyFont="1" applyProtection="1">
      <protection locked="0" hidden="1"/>
    </xf>
    <xf numFmtId="165" fontId="13" fillId="2" borderId="0" xfId="31" applyNumberFormat="1" applyFont="1" applyFill="1" applyAlignment="1" applyProtection="1">
      <alignment horizontal="right"/>
      <protection locked="0"/>
    </xf>
    <xf numFmtId="0" fontId="14" fillId="2" borderId="0" xfId="31" applyFont="1" applyFill="1" applyProtection="1"/>
    <xf numFmtId="0" fontId="13" fillId="0" borderId="0" xfId="31" applyFont="1" applyBorder="1" applyProtection="1">
      <protection locked="0"/>
    </xf>
    <xf numFmtId="0" fontId="14" fillId="2" borderId="0" xfId="31" applyFont="1" applyFill="1" applyBorder="1" applyAlignment="1" applyProtection="1">
      <alignment horizontal="left" wrapText="1"/>
    </xf>
    <xf numFmtId="0" fontId="13" fillId="2" borderId="0" xfId="31" applyFont="1" applyFill="1" applyBorder="1" applyProtection="1">
      <protection locked="0"/>
    </xf>
    <xf numFmtId="0" fontId="13" fillId="0" borderId="0" xfId="31" applyFont="1" applyBorder="1" applyProtection="1">
      <protection locked="0" hidden="1"/>
    </xf>
    <xf numFmtId="0" fontId="13" fillId="0" borderId="0" xfId="31" applyFont="1" applyProtection="1"/>
    <xf numFmtId="0" fontId="13" fillId="2" borderId="0" xfId="31" applyFont="1" applyFill="1" applyBorder="1" applyProtection="1"/>
    <xf numFmtId="0" fontId="15" fillId="2" borderId="0" xfId="31" applyFont="1" applyFill="1" applyBorder="1" applyAlignment="1" applyProtection="1">
      <alignment horizontal="center"/>
    </xf>
    <xf numFmtId="0" fontId="13" fillId="0" borderId="0" xfId="31" applyFont="1" applyProtection="1">
      <protection hidden="1"/>
    </xf>
    <xf numFmtId="0" fontId="16" fillId="0" borderId="0" xfId="31" applyFont="1"/>
    <xf numFmtId="0" fontId="17" fillId="0" borderId="0" xfId="0" applyFont="1"/>
    <xf numFmtId="0" fontId="13" fillId="0" borderId="1" xfId="32" applyNumberFormat="1" applyFont="1" applyBorder="1" applyAlignment="1" applyProtection="1">
      <alignment horizontal="center" vertical="center"/>
    </xf>
    <xf numFmtId="0" fontId="14" fillId="2" borderId="1" xfId="32" applyNumberFormat="1" applyFont="1" applyFill="1" applyBorder="1" applyAlignment="1" applyProtection="1">
      <alignment horizontal="center" vertical="center"/>
    </xf>
    <xf numFmtId="0" fontId="13" fillId="0" borderId="1" xfId="32" applyNumberFormat="1" applyFont="1" applyBorder="1" applyAlignment="1" applyProtection="1">
      <alignment vertical="top"/>
    </xf>
    <xf numFmtId="0" fontId="14" fillId="2" borderId="0" xfId="32" applyFont="1" applyFill="1" applyAlignment="1" applyProtection="1">
      <alignment horizontal="left"/>
    </xf>
    <xf numFmtId="0" fontId="14" fillId="2" borderId="0" xfId="32" applyNumberFormat="1" applyFont="1" applyFill="1" applyBorder="1" applyProtection="1"/>
    <xf numFmtId="0" fontId="14" fillId="2" borderId="1" xfId="31" applyFont="1" applyFill="1" applyBorder="1" applyAlignment="1" applyProtection="1">
      <alignment horizontal="center"/>
    </xf>
    <xf numFmtId="0" fontId="13" fillId="2" borderId="1" xfId="44" applyNumberFormat="1" applyFont="1" applyFill="1" applyBorder="1" applyAlignment="1" applyProtection="1">
      <alignment horizontal="left" vertical="top" wrapText="1" indent="2"/>
    </xf>
    <xf numFmtId="0" fontId="13" fillId="2" borderId="1" xfId="44" applyNumberFormat="1" applyFont="1" applyFill="1" applyBorder="1" applyAlignment="1" applyProtection="1">
      <alignment horizontal="left" vertical="top" indent="2"/>
    </xf>
    <xf numFmtId="0" fontId="13" fillId="0" borderId="1" xfId="32" applyNumberFormat="1" applyFont="1" applyFill="1" applyBorder="1" applyAlignment="1" applyProtection="1">
      <alignment vertical="top"/>
    </xf>
    <xf numFmtId="0" fontId="13" fillId="0" borderId="1" xfId="44" applyNumberFormat="1" applyFont="1" applyFill="1" applyBorder="1" applyAlignment="1" applyProtection="1">
      <alignment horizontal="left" vertical="top" indent="2"/>
    </xf>
    <xf numFmtId="3" fontId="14" fillId="3" borderId="1" xfId="31" applyNumberFormat="1" applyFont="1" applyFill="1" applyBorder="1" applyAlignment="1" applyProtection="1">
      <alignment horizontal="right"/>
    </xf>
    <xf numFmtId="0" fontId="13" fillId="0" borderId="1" xfId="0" applyFont="1" applyBorder="1" applyAlignment="1" applyProtection="1">
      <alignment horizontal="left" indent="2"/>
    </xf>
    <xf numFmtId="0" fontId="27" fillId="2" borderId="1" xfId="31" applyFont="1" applyFill="1" applyBorder="1" applyAlignment="1" applyProtection="1">
      <protection hidden="1"/>
    </xf>
    <xf numFmtId="0" fontId="28" fillId="2" borderId="1" xfId="31" applyFont="1" applyFill="1" applyBorder="1" applyAlignment="1" applyProtection="1">
      <alignment horizontal="center"/>
      <protection hidden="1"/>
    </xf>
    <xf numFmtId="0" fontId="27" fillId="2" borderId="0" xfId="0" applyFont="1" applyFill="1" applyProtection="1">
      <protection locked="0"/>
    </xf>
    <xf numFmtId="0" fontId="28" fillId="2" borderId="0" xfId="44" applyFont="1" applyFill="1" applyAlignment="1" applyProtection="1">
      <alignment horizontal="left"/>
      <protection locked="0"/>
    </xf>
    <xf numFmtId="0" fontId="27" fillId="2" borderId="0" xfId="31" applyFont="1" applyFill="1" applyProtection="1">
      <protection locked="0"/>
    </xf>
    <xf numFmtId="0" fontId="28" fillId="2" borderId="0" xfId="31" applyFont="1" applyFill="1" applyProtection="1">
      <protection locked="0"/>
    </xf>
    <xf numFmtId="0" fontId="28" fillId="2" borderId="0" xfId="31" applyFont="1" applyFill="1" applyBorder="1" applyAlignment="1" applyProtection="1">
      <alignment horizontal="left" wrapText="1"/>
      <protection locked="0"/>
    </xf>
    <xf numFmtId="0" fontId="27" fillId="2" borderId="0" xfId="31" applyFont="1" applyFill="1" applyBorder="1" applyProtection="1">
      <protection locked="0"/>
    </xf>
    <xf numFmtId="0" fontId="27" fillId="2" borderId="0" xfId="31" applyFont="1" applyFill="1" applyProtection="1"/>
    <xf numFmtId="0" fontId="27" fillId="2" borderId="0" xfId="31" applyFont="1" applyFill="1" applyBorder="1" applyProtection="1"/>
    <xf numFmtId="3" fontId="27" fillId="2" borderId="0" xfId="31" applyNumberFormat="1" applyFont="1" applyFill="1" applyProtection="1"/>
    <xf numFmtId="0" fontId="29" fillId="2" borderId="0" xfId="31" applyFont="1" applyFill="1" applyBorder="1" applyAlignment="1" applyProtection="1">
      <alignment horizontal="center"/>
    </xf>
    <xf numFmtId="0" fontId="27" fillId="2" borderId="0" xfId="0" applyFont="1" applyFill="1"/>
    <xf numFmtId="3" fontId="14" fillId="2" borderId="1" xfId="13" applyNumberFormat="1" applyFont="1" applyFill="1" applyBorder="1" applyAlignment="1" applyProtection="1">
      <alignment horizontal="right" vertical="center"/>
      <protection locked="0"/>
    </xf>
    <xf numFmtId="0" fontId="27" fillId="2" borderId="1" xfId="31" applyFont="1" applyFill="1" applyBorder="1" applyProtection="1">
      <protection hidden="1"/>
    </xf>
    <xf numFmtId="3" fontId="14" fillId="3" borderId="1" xfId="13" applyNumberFormat="1" applyFont="1" applyFill="1" applyBorder="1" applyAlignment="1" applyProtection="1">
      <alignment horizontal="right" vertical="center" wrapText="1"/>
      <protection hidden="1"/>
    </xf>
    <xf numFmtId="0" fontId="27" fillId="2" borderId="1" xfId="0" applyFont="1" applyFill="1" applyBorder="1" applyProtection="1">
      <protection hidden="1"/>
    </xf>
    <xf numFmtId="0" fontId="13" fillId="2" borderId="1" xfId="31" applyFont="1" applyFill="1" applyBorder="1" applyAlignment="1" applyProtection="1">
      <protection hidden="1"/>
    </xf>
    <xf numFmtId="0" fontId="27" fillId="0" borderId="1" xfId="31" applyFont="1" applyFill="1" applyBorder="1" applyAlignment="1" applyProtection="1">
      <protection hidden="1"/>
    </xf>
    <xf numFmtId="0" fontId="27" fillId="2" borderId="1" xfId="0" applyFont="1" applyFill="1" applyBorder="1" applyAlignment="1" applyProtection="1">
      <protection hidden="1"/>
    </xf>
    <xf numFmtId="0" fontId="14" fillId="0" borderId="1" xfId="33" applyFont="1" applyFill="1" applyBorder="1" applyProtection="1"/>
    <xf numFmtId="0" fontId="13" fillId="0" borderId="1" xfId="33" applyFont="1" applyFill="1" applyBorder="1" applyAlignment="1" applyProtection="1">
      <alignment vertical="top"/>
    </xf>
    <xf numFmtId="0" fontId="14" fillId="2" borderId="1" xfId="33" applyFont="1" applyFill="1" applyBorder="1" applyAlignment="1" applyProtection="1">
      <alignment wrapText="1"/>
    </xf>
    <xf numFmtId="0" fontId="13" fillId="2" borderId="1" xfId="33" applyFont="1" applyFill="1" applyBorder="1" applyAlignment="1" applyProtection="1">
      <alignment horizontal="left" indent="2"/>
    </xf>
    <xf numFmtId="0" fontId="14" fillId="2" borderId="1" xfId="33" applyFont="1" applyFill="1" applyBorder="1" applyAlignment="1" applyProtection="1"/>
    <xf numFmtId="3" fontId="14" fillId="3" borderId="1" xfId="13" applyNumberFormat="1" applyFont="1" applyFill="1" applyBorder="1" applyAlignment="1" applyProtection="1">
      <alignment horizontal="right" vertical="center"/>
    </xf>
    <xf numFmtId="0" fontId="13" fillId="2" borderId="1" xfId="33" applyFont="1" applyFill="1" applyBorder="1" applyAlignment="1" applyProtection="1">
      <alignment horizontal="left" vertical="center" wrapText="1" indent="2"/>
    </xf>
    <xf numFmtId="0" fontId="14" fillId="2" borderId="1" xfId="33" applyFont="1" applyFill="1" applyBorder="1" applyAlignment="1" applyProtection="1">
      <alignment vertical="center" wrapText="1"/>
    </xf>
    <xf numFmtId="0" fontId="14" fillId="0" borderId="0" xfId="0" applyFont="1" applyProtection="1"/>
    <xf numFmtId="0" fontId="14" fillId="0" borderId="0" xfId="0" applyFont="1"/>
    <xf numFmtId="0" fontId="13" fillId="0" borderId="0" xfId="33" applyFont="1" applyFill="1" applyBorder="1" applyAlignment="1" applyProtection="1">
      <alignment vertical="top"/>
    </xf>
    <xf numFmtId="0" fontId="13" fillId="2" borderId="0" xfId="33" applyFont="1" applyFill="1" applyBorder="1" applyAlignment="1" applyProtection="1">
      <alignment vertical="top" wrapText="1"/>
    </xf>
    <xf numFmtId="3" fontId="14" fillId="2" borderId="0" xfId="13" applyNumberFormat="1" applyFont="1" applyFill="1" applyBorder="1" applyAlignment="1" applyProtection="1">
      <alignment horizontal="center" vertical="center" wrapText="1"/>
      <protection hidden="1"/>
    </xf>
    <xf numFmtId="3" fontId="14" fillId="2" borderId="0" xfId="13" applyNumberFormat="1" applyFont="1" applyFill="1" applyBorder="1" applyAlignment="1" applyProtection="1">
      <alignment horizontal="right"/>
      <protection locked="0"/>
    </xf>
    <xf numFmtId="3" fontId="14" fillId="2" borderId="0" xfId="13" applyNumberFormat="1" applyFont="1" applyFill="1" applyBorder="1" applyAlignment="1" applyProtection="1">
      <alignment horizontal="right"/>
    </xf>
    <xf numFmtId="0" fontId="13" fillId="0" borderId="0" xfId="39" applyFont="1" applyProtection="1">
      <protection locked="0"/>
    </xf>
    <xf numFmtId="0" fontId="14" fillId="2" borderId="0" xfId="39" applyFont="1" applyFill="1" applyProtection="1"/>
    <xf numFmtId="0" fontId="13" fillId="2" borderId="0" xfId="39" applyFont="1" applyFill="1" applyAlignment="1" applyProtection="1">
      <alignment horizontal="left"/>
      <protection locked="0"/>
    </xf>
    <xf numFmtId="0" fontId="13" fillId="2" borderId="0" xfId="39" applyFont="1" applyFill="1" applyBorder="1" applyProtection="1">
      <protection locked="0"/>
    </xf>
    <xf numFmtId="0" fontId="14" fillId="2" borderId="0" xfId="39" applyFont="1" applyFill="1" applyBorder="1" applyProtection="1"/>
    <xf numFmtId="0" fontId="14" fillId="2" borderId="0" xfId="39" applyFont="1" applyFill="1" applyBorder="1" applyAlignment="1" applyProtection="1">
      <alignment horizontal="center"/>
      <protection locked="0"/>
    </xf>
    <xf numFmtId="0" fontId="14" fillId="2" borderId="0" xfId="39" applyFont="1" applyFill="1" applyBorder="1" applyProtection="1">
      <protection locked="0"/>
    </xf>
    <xf numFmtId="0" fontId="13" fillId="0" borderId="0" xfId="25" applyFont="1" applyProtection="1">
      <protection locked="0"/>
    </xf>
    <xf numFmtId="0" fontId="13" fillId="2" borderId="0" xfId="25" applyFont="1" applyFill="1" applyProtection="1">
      <protection locked="0"/>
    </xf>
    <xf numFmtId="0" fontId="14" fillId="2" borderId="0" xfId="27" applyFont="1" applyFill="1" applyProtection="1">
      <protection locked="0"/>
    </xf>
    <xf numFmtId="0" fontId="13" fillId="2" borderId="0" xfId="27" applyFont="1" applyFill="1" applyProtection="1">
      <protection locked="0"/>
    </xf>
    <xf numFmtId="0" fontId="13" fillId="0" borderId="0" xfId="27" applyFont="1" applyFill="1" applyProtection="1">
      <protection locked="0" hidden="1"/>
    </xf>
    <xf numFmtId="0" fontId="14" fillId="2" borderId="0" xfId="25" applyFont="1" applyFill="1" applyProtection="1">
      <protection locked="0"/>
    </xf>
    <xf numFmtId="0" fontId="13" fillId="2" borderId="0" xfId="27" applyFont="1" applyFill="1" applyAlignment="1" applyProtection="1">
      <alignment horizontal="center"/>
      <protection locked="0"/>
    </xf>
    <xf numFmtId="0" fontId="13" fillId="2" borderId="0" xfId="27" applyFont="1" applyFill="1" applyAlignment="1" applyProtection="1">
      <alignment horizontal="left"/>
      <protection locked="0"/>
    </xf>
    <xf numFmtId="0" fontId="14" fillId="2" borderId="0" xfId="27" applyFont="1" applyFill="1" applyAlignment="1" applyProtection="1">
      <alignment horizontal="left"/>
    </xf>
    <xf numFmtId="0" fontId="13" fillId="2" borderId="0" xfId="25" applyFont="1" applyFill="1" applyAlignment="1" applyProtection="1">
      <alignment horizontal="center"/>
      <protection locked="0"/>
    </xf>
    <xf numFmtId="0" fontId="14" fillId="2" borderId="0" xfId="27" applyFont="1" applyFill="1" applyAlignment="1" applyProtection="1">
      <alignment horizontal="left"/>
      <protection locked="0"/>
    </xf>
    <xf numFmtId="0" fontId="21" fillId="2" borderId="0" xfId="27" applyFont="1" applyFill="1" applyAlignment="1" applyProtection="1">
      <alignment horizontal="centerContinuous"/>
      <protection locked="0"/>
    </xf>
    <xf numFmtId="0" fontId="13" fillId="0" borderId="0" xfId="25" applyFont="1"/>
    <xf numFmtId="0" fontId="13" fillId="2" borderId="0" xfId="25" applyFont="1" applyFill="1" applyBorder="1" applyProtection="1"/>
    <xf numFmtId="0" fontId="13" fillId="2" borderId="0" xfId="27" applyFont="1" applyFill="1" applyBorder="1" applyAlignment="1" applyProtection="1">
      <alignment vertical="center"/>
      <protection locked="0"/>
    </xf>
    <xf numFmtId="0" fontId="14" fillId="2" borderId="0" xfId="27" applyFont="1" applyFill="1" applyBorder="1" applyProtection="1">
      <protection locked="0"/>
    </xf>
    <xf numFmtId="0" fontId="13" fillId="2" borderId="0" xfId="27" applyFont="1" applyFill="1" applyBorder="1" applyAlignment="1" applyProtection="1">
      <alignment horizontal="center"/>
      <protection locked="0"/>
    </xf>
    <xf numFmtId="0" fontId="13" fillId="2" borderId="0" xfId="27" applyFont="1" applyFill="1" applyBorder="1" applyProtection="1">
      <protection locked="0"/>
    </xf>
    <xf numFmtId="0" fontId="15" fillId="2" borderId="0" xfId="27" applyFont="1" applyFill="1" applyBorder="1" applyAlignment="1" applyProtection="1">
      <alignment horizontal="center" wrapText="1"/>
      <protection locked="0"/>
    </xf>
    <xf numFmtId="0" fontId="13" fillId="0" borderId="0" xfId="27" applyFont="1" applyFill="1" applyBorder="1" applyProtection="1">
      <protection hidden="1"/>
    </xf>
    <xf numFmtId="0" fontId="13" fillId="0" borderId="0" xfId="27" applyFont="1" applyFill="1" applyProtection="1">
      <protection hidden="1"/>
    </xf>
    <xf numFmtId="0" fontId="13" fillId="0" borderId="0" xfId="27" applyFont="1" applyFill="1" applyProtection="1">
      <protection locked="0"/>
    </xf>
    <xf numFmtId="0" fontId="13" fillId="0" borderId="0" xfId="27" applyFont="1" applyFill="1" applyAlignment="1" applyProtection="1">
      <alignment wrapText="1"/>
      <protection locked="0"/>
    </xf>
    <xf numFmtId="0" fontId="13" fillId="0" borderId="0" xfId="27" applyFont="1" applyFill="1" applyAlignment="1" applyProtection="1">
      <alignment horizontal="center"/>
      <protection locked="0"/>
    </xf>
    <xf numFmtId="0" fontId="16" fillId="0" borderId="0" xfId="28" applyFont="1" applyProtection="1">
      <protection locked="0"/>
    </xf>
    <xf numFmtId="0" fontId="13" fillId="0" borderId="0" xfId="28" applyFont="1" applyFill="1" applyBorder="1" applyProtection="1">
      <protection locked="0"/>
    </xf>
    <xf numFmtId="0" fontId="14" fillId="2" borderId="0" xfId="28" applyFont="1" applyFill="1" applyProtection="1">
      <protection locked="0"/>
    </xf>
    <xf numFmtId="0" fontId="13" fillId="2" borderId="0" xfId="28" applyFont="1" applyFill="1" applyProtection="1">
      <protection locked="0"/>
    </xf>
    <xf numFmtId="0" fontId="13" fillId="2" borderId="0" xfId="28" applyFont="1" applyFill="1" applyAlignment="1" applyProtection="1">
      <alignment horizontal="center"/>
      <protection locked="0"/>
    </xf>
    <xf numFmtId="0" fontId="13" fillId="2" borderId="0" xfId="28" applyFont="1" applyFill="1" applyAlignment="1" applyProtection="1">
      <alignment horizontal="left"/>
      <protection locked="0"/>
    </xf>
    <xf numFmtId="0" fontId="14" fillId="2" borderId="0" xfId="28" applyFont="1" applyFill="1" applyProtection="1"/>
    <xf numFmtId="0" fontId="14" fillId="2" borderId="0" xfId="28" applyFont="1" applyFill="1" applyAlignment="1" applyProtection="1">
      <alignment horizontal="left"/>
    </xf>
    <xf numFmtId="0" fontId="14" fillId="2" borderId="0" xfId="28" applyFont="1" applyFill="1" applyAlignment="1" applyProtection="1">
      <alignment horizontal="left"/>
      <protection locked="0"/>
    </xf>
    <xf numFmtId="0" fontId="21" fillId="2" borderId="0" xfId="28" applyFont="1" applyFill="1" applyAlignment="1" applyProtection="1">
      <alignment horizontal="centerContinuous"/>
      <protection locked="0"/>
    </xf>
    <xf numFmtId="0" fontId="16" fillId="0" borderId="0" xfId="28" applyFont="1"/>
    <xf numFmtId="0" fontId="13" fillId="0" borderId="0" xfId="40" applyFont="1" applyFill="1" applyProtection="1">
      <protection locked="0"/>
    </xf>
    <xf numFmtId="0" fontId="14" fillId="2" borderId="0" xfId="40" applyFont="1" applyFill="1" applyProtection="1">
      <protection locked="0"/>
    </xf>
    <xf numFmtId="0" fontId="13" fillId="2" borderId="0" xfId="40" applyFont="1" applyFill="1" applyProtection="1">
      <protection locked="0"/>
    </xf>
    <xf numFmtId="0" fontId="13" fillId="2" borderId="0" xfId="40" applyFont="1" applyFill="1" applyAlignment="1" applyProtection="1">
      <alignment horizontal="center"/>
      <protection locked="0"/>
    </xf>
    <xf numFmtId="0" fontId="13" fillId="2" borderId="0" xfId="40" applyFont="1" applyFill="1" applyAlignment="1" applyProtection="1">
      <alignment horizontal="left"/>
      <protection locked="0"/>
    </xf>
    <xf numFmtId="0" fontId="14" fillId="2" borderId="0" xfId="40" applyFont="1" applyFill="1" applyAlignment="1" applyProtection="1">
      <alignment horizontal="left"/>
    </xf>
    <xf numFmtId="0" fontId="14" fillId="2" borderId="0" xfId="40" applyFont="1" applyFill="1" applyAlignment="1" applyProtection="1">
      <alignment horizontal="left"/>
      <protection locked="0"/>
    </xf>
    <xf numFmtId="0" fontId="21" fillId="2" borderId="0" xfId="40" applyFont="1" applyFill="1" applyAlignment="1" applyProtection="1">
      <alignment horizontal="centerContinuous"/>
      <protection locked="0"/>
    </xf>
    <xf numFmtId="0" fontId="13" fillId="0" borderId="0" xfId="40" applyFont="1" applyFill="1" applyBorder="1" applyProtection="1">
      <protection locked="0"/>
    </xf>
    <xf numFmtId="0" fontId="13" fillId="2" borderId="0" xfId="40" applyFont="1" applyFill="1" applyBorder="1" applyAlignment="1" applyProtection="1">
      <alignment vertical="center"/>
      <protection locked="0"/>
    </xf>
    <xf numFmtId="0" fontId="14" fillId="2" borderId="0" xfId="40" applyFont="1" applyFill="1" applyBorder="1" applyProtection="1">
      <protection locked="0"/>
    </xf>
    <xf numFmtId="0" fontId="13" fillId="2" borderId="0" xfId="40" applyFont="1" applyFill="1" applyBorder="1" applyAlignment="1" applyProtection="1">
      <alignment horizontal="center"/>
      <protection locked="0"/>
    </xf>
    <xf numFmtId="0" fontId="13" fillId="2" borderId="0" xfId="40" applyFont="1" applyFill="1" applyBorder="1" applyProtection="1">
      <protection locked="0"/>
    </xf>
    <xf numFmtId="0" fontId="15" fillId="2" borderId="0" xfId="40" applyFont="1" applyFill="1" applyBorder="1" applyAlignment="1" applyProtection="1">
      <alignment horizontal="center" wrapText="1"/>
      <protection locked="0"/>
    </xf>
    <xf numFmtId="0" fontId="16" fillId="0" borderId="0" xfId="41" applyFont="1" applyProtection="1">
      <protection locked="0"/>
    </xf>
    <xf numFmtId="0" fontId="13" fillId="0" borderId="0" xfId="41" applyFont="1" applyFill="1" applyBorder="1" applyProtection="1">
      <protection locked="0"/>
    </xf>
    <xf numFmtId="0" fontId="14" fillId="2" borderId="0" xfId="41" applyFont="1" applyFill="1" applyProtection="1">
      <protection locked="0"/>
    </xf>
    <xf numFmtId="0" fontId="13" fillId="2" borderId="0" xfId="41" applyFont="1" applyFill="1" applyProtection="1">
      <protection locked="0"/>
    </xf>
    <xf numFmtId="0" fontId="13" fillId="2" borderId="0" xfId="41" applyFont="1" applyFill="1" applyAlignment="1" applyProtection="1">
      <alignment horizontal="center"/>
      <protection locked="0"/>
    </xf>
    <xf numFmtId="0" fontId="13" fillId="2" borderId="0" xfId="41" applyFont="1" applyFill="1" applyAlignment="1" applyProtection="1">
      <alignment horizontal="left"/>
      <protection locked="0"/>
    </xf>
    <xf numFmtId="0" fontId="14" fillId="2" borderId="0" xfId="41" applyFont="1" applyFill="1" applyProtection="1"/>
    <xf numFmtId="0" fontId="14" fillId="2" borderId="0" xfId="41" applyFont="1" applyFill="1" applyAlignment="1" applyProtection="1">
      <alignment horizontal="left"/>
    </xf>
    <xf numFmtId="0" fontId="14" fillId="2" borderId="0" xfId="41" applyFont="1" applyFill="1" applyAlignment="1" applyProtection="1">
      <alignment horizontal="left"/>
      <protection locked="0"/>
    </xf>
    <xf numFmtId="0" fontId="21" fillId="2" borderId="0" xfId="41" applyFont="1" applyFill="1" applyAlignment="1" applyProtection="1">
      <alignment horizontal="centerContinuous"/>
      <protection locked="0"/>
    </xf>
    <xf numFmtId="0" fontId="16" fillId="0" borderId="0" xfId="41" applyFont="1"/>
    <xf numFmtId="0" fontId="14" fillId="0" borderId="0" xfId="23" applyFont="1" applyFill="1" applyProtection="1">
      <protection locked="0"/>
    </xf>
    <xf numFmtId="0" fontId="14" fillId="2" borderId="0" xfId="23" applyFont="1" applyFill="1" applyProtection="1">
      <protection locked="0"/>
    </xf>
    <xf numFmtId="0" fontId="13" fillId="2" borderId="0" xfId="23" applyFont="1" applyFill="1" applyProtection="1">
      <protection locked="0"/>
    </xf>
    <xf numFmtId="0" fontId="13" fillId="2" borderId="0" xfId="23" applyFont="1" applyFill="1" applyAlignment="1" applyProtection="1">
      <alignment horizontal="center"/>
      <protection locked="0"/>
    </xf>
    <xf numFmtId="0" fontId="14" fillId="2" borderId="0" xfId="23" applyFont="1" applyFill="1" applyProtection="1"/>
    <xf numFmtId="0" fontId="14" fillId="2" borderId="0" xfId="23" applyFont="1" applyFill="1" applyBorder="1" applyProtection="1">
      <protection locked="0"/>
    </xf>
    <xf numFmtId="0" fontId="14" fillId="2" borderId="0" xfId="23" applyFont="1" applyFill="1" applyBorder="1" applyProtection="1"/>
    <xf numFmtId="0" fontId="14" fillId="0" borderId="0" xfId="23" applyFont="1" applyFill="1" applyBorder="1" applyProtection="1">
      <protection locked="0"/>
    </xf>
    <xf numFmtId="0" fontId="15" fillId="2" borderId="0" xfId="23" applyFont="1" applyFill="1" applyBorder="1" applyAlignment="1" applyProtection="1">
      <alignment horizontal="center" wrapText="1"/>
    </xf>
    <xf numFmtId="0" fontId="13" fillId="2" borderId="0" xfId="23" applyFont="1" applyFill="1" applyBorder="1" applyAlignment="1" applyProtection="1">
      <alignment vertical="center"/>
    </xf>
    <xf numFmtId="3" fontId="13" fillId="2" borderId="0" xfId="23" applyNumberFormat="1" applyFont="1" applyFill="1" applyBorder="1" applyAlignment="1" applyProtection="1">
      <alignment horizontal="right"/>
    </xf>
    <xf numFmtId="0" fontId="14" fillId="0" borderId="0" xfId="24" applyFont="1" applyFill="1" applyProtection="1">
      <protection locked="0"/>
    </xf>
    <xf numFmtId="0" fontId="14" fillId="2" borderId="0" xfId="24" applyFont="1" applyFill="1" applyProtection="1">
      <protection locked="0"/>
    </xf>
    <xf numFmtId="0" fontId="13" fillId="2" borderId="0" xfId="24" applyFont="1" applyFill="1" applyProtection="1">
      <protection locked="0"/>
    </xf>
    <xf numFmtId="0" fontId="13" fillId="2" borderId="0" xfId="24" applyFont="1" applyFill="1" applyAlignment="1" applyProtection="1">
      <alignment horizontal="center"/>
      <protection locked="0"/>
    </xf>
    <xf numFmtId="0" fontId="14" fillId="2" borderId="0" xfId="24" applyFont="1" applyFill="1" applyProtection="1"/>
    <xf numFmtId="0" fontId="14" fillId="2" borderId="0" xfId="24" applyFont="1" applyFill="1" applyBorder="1" applyProtection="1">
      <protection locked="0"/>
    </xf>
    <xf numFmtId="0" fontId="14" fillId="2" borderId="0" xfId="30" applyFont="1" applyFill="1" applyProtection="1">
      <protection locked="0"/>
    </xf>
    <xf numFmtId="0" fontId="13" fillId="2" borderId="0" xfId="30" applyFont="1" applyFill="1" applyProtection="1">
      <protection locked="0"/>
    </xf>
    <xf numFmtId="0" fontId="14" fillId="2" borderId="0" xfId="30" applyFont="1" applyFill="1" applyProtection="1"/>
    <xf numFmtId="0" fontId="14" fillId="2" borderId="0" xfId="30" applyFont="1" applyFill="1" applyBorder="1" applyAlignment="1" applyProtection="1">
      <protection locked="0"/>
    </xf>
    <xf numFmtId="0" fontId="14" fillId="2" borderId="0" xfId="30" applyFont="1" applyFill="1" applyBorder="1" applyProtection="1"/>
    <xf numFmtId="0" fontId="14" fillId="2" borderId="0" xfId="30" applyFont="1" applyFill="1" applyBorder="1" applyProtection="1">
      <protection locked="0"/>
    </xf>
    <xf numFmtId="0" fontId="13" fillId="2" borderId="0" xfId="30" applyFont="1" applyFill="1" applyBorder="1" applyProtection="1">
      <protection locked="0"/>
    </xf>
    <xf numFmtId="0" fontId="14" fillId="2" borderId="0" xfId="16" applyFont="1" applyFill="1" applyProtection="1">
      <protection locked="0"/>
    </xf>
    <xf numFmtId="0" fontId="13" fillId="2" borderId="0" xfId="16" applyFont="1" applyFill="1" applyAlignment="1" applyProtection="1">
      <alignment horizontal="left"/>
      <protection locked="0"/>
    </xf>
    <xf numFmtId="49" fontId="13" fillId="2" borderId="0" xfId="16" applyNumberFormat="1" applyFont="1" applyFill="1" applyBorder="1" applyAlignment="1" applyProtection="1">
      <alignment horizontal="left"/>
    </xf>
    <xf numFmtId="0" fontId="14" fillId="2" borderId="0" xfId="16" applyFont="1" applyFill="1" applyBorder="1" applyProtection="1"/>
    <xf numFmtId="0" fontId="13" fillId="2" borderId="0" xfId="16" applyFont="1" applyFill="1" applyBorder="1" applyProtection="1"/>
    <xf numFmtId="0" fontId="15" fillId="2" borderId="0" xfId="16" applyFont="1" applyFill="1" applyBorder="1" applyAlignment="1" applyProtection="1">
      <alignment horizontal="center"/>
    </xf>
    <xf numFmtId="3" fontId="13" fillId="0" borderId="0" xfId="0" applyNumberFormat="1" applyFont="1"/>
    <xf numFmtId="0" fontId="14" fillId="2" borderId="0" xfId="17" applyFont="1" applyFill="1" applyProtection="1">
      <protection locked="0"/>
    </xf>
    <xf numFmtId="0" fontId="13" fillId="2" borderId="0" xfId="17" applyFont="1" applyFill="1" applyAlignment="1" applyProtection="1">
      <alignment horizontal="left"/>
      <protection locked="0"/>
    </xf>
    <xf numFmtId="0" fontId="14" fillId="2" borderId="0" xfId="1" applyFont="1" applyFill="1" applyProtection="1">
      <protection locked="0"/>
    </xf>
    <xf numFmtId="0" fontId="13" fillId="2" borderId="0" xfId="17" applyFont="1" applyFill="1" applyProtection="1">
      <protection locked="0"/>
    </xf>
    <xf numFmtId="0" fontId="13" fillId="2" borderId="0" xfId="1" applyFont="1" applyFill="1" applyBorder="1" applyProtection="1"/>
    <xf numFmtId="0" fontId="14" fillId="2" borderId="0" xfId="18" applyFont="1" applyFill="1" applyProtection="1">
      <protection locked="0"/>
    </xf>
    <xf numFmtId="0" fontId="13" fillId="2" borderId="0" xfId="18" applyFont="1" applyFill="1" applyProtection="1">
      <protection locked="0"/>
    </xf>
    <xf numFmtId="0" fontId="13" fillId="2" borderId="0" xfId="18" applyFont="1" applyFill="1" applyAlignment="1" applyProtection="1">
      <alignment horizontal="left"/>
      <protection locked="0"/>
    </xf>
    <xf numFmtId="0" fontId="13" fillId="0" borderId="0" xfId="18" applyFont="1" applyProtection="1">
      <protection locked="0" hidden="1"/>
    </xf>
    <xf numFmtId="49" fontId="13" fillId="2" borderId="0" xfId="18" applyNumberFormat="1" applyFont="1" applyFill="1" applyAlignment="1" applyProtection="1">
      <alignment horizontal="left"/>
      <protection locked="0"/>
    </xf>
    <xf numFmtId="0" fontId="13" fillId="0" borderId="0" xfId="18" applyFont="1" applyProtection="1">
      <protection hidden="1"/>
    </xf>
    <xf numFmtId="0" fontId="13" fillId="0" borderId="0" xfId="18" applyFont="1" applyFill="1" applyProtection="1">
      <protection hidden="1"/>
    </xf>
    <xf numFmtId="0" fontId="16" fillId="2" borderId="0" xfId="0" applyFont="1" applyFill="1" applyProtection="1">
      <protection locked="0"/>
    </xf>
    <xf numFmtId="0" fontId="30" fillId="0" borderId="0" xfId="0" applyFont="1"/>
    <xf numFmtId="10" fontId="13" fillId="3" borderId="1" xfId="38" applyNumberFormat="1" applyFont="1" applyFill="1" applyBorder="1" applyAlignment="1" applyProtection="1">
      <alignment horizontal="center" vertical="center"/>
    </xf>
    <xf numFmtId="2" fontId="13" fillId="3" borderId="1" xfId="38" applyNumberFormat="1" applyFont="1" applyFill="1" applyBorder="1" applyAlignment="1" applyProtection="1">
      <alignment horizontal="center" vertical="center"/>
    </xf>
    <xf numFmtId="0" fontId="13" fillId="0" borderId="1" xfId="33" applyFont="1" applyFill="1" applyBorder="1" applyAlignment="1" applyProtection="1">
      <alignment horizontal="left" vertical="center" wrapText="1" indent="2"/>
    </xf>
    <xf numFmtId="0" fontId="13" fillId="2" borderId="2" xfId="45" applyFont="1" applyFill="1" applyBorder="1" applyAlignment="1" applyProtection="1">
      <alignment horizontal="left"/>
    </xf>
    <xf numFmtId="0" fontId="13" fillId="2" borderId="2" xfId="45" applyFont="1" applyFill="1" applyBorder="1" applyAlignment="1" applyProtection="1">
      <alignment horizontal="left" wrapText="1"/>
    </xf>
    <xf numFmtId="0" fontId="13" fillId="2" borderId="4" xfId="45" applyFont="1" applyFill="1" applyBorder="1" applyAlignment="1" applyProtection="1">
      <alignment horizontal="left"/>
    </xf>
    <xf numFmtId="0" fontId="13" fillId="2" borderId="4" xfId="45" applyFont="1" applyFill="1" applyBorder="1" applyAlignment="1" applyProtection="1">
      <alignment horizontal="left" wrapText="1"/>
    </xf>
    <xf numFmtId="0" fontId="11" fillId="2" borderId="0" xfId="0" applyFont="1" applyFill="1"/>
    <xf numFmtId="0" fontId="31" fillId="2" borderId="2" xfId="45" applyFont="1" applyFill="1" applyBorder="1" applyAlignment="1" applyProtection="1">
      <alignment horizontal="left"/>
    </xf>
    <xf numFmtId="0" fontId="31" fillId="2" borderId="2" xfId="45" applyFont="1" applyFill="1" applyBorder="1" applyAlignment="1" applyProtection="1">
      <alignment horizontal="left" wrapText="1"/>
    </xf>
    <xf numFmtId="0" fontId="31" fillId="2" borderId="0" xfId="0" applyFont="1" applyFill="1"/>
    <xf numFmtId="0" fontId="32" fillId="2" borderId="4" xfId="45" applyFont="1" applyFill="1" applyBorder="1" applyAlignment="1" applyProtection="1">
      <alignment horizontal="left"/>
    </xf>
    <xf numFmtId="0" fontId="14" fillId="2" borderId="0" xfId="45" applyFont="1" applyFill="1" applyProtection="1"/>
    <xf numFmtId="0" fontId="13" fillId="2" borderId="0" xfId="45" applyFont="1" applyFill="1" applyProtection="1"/>
    <xf numFmtId="0" fontId="14" fillId="2" borderId="0" xfId="45" applyFont="1" applyFill="1" applyAlignment="1" applyProtection="1">
      <alignment horizontal="center"/>
    </xf>
    <xf numFmtId="0" fontId="13" fillId="2" borderId="0" xfId="45" applyFont="1" applyFill="1" applyAlignment="1" applyProtection="1">
      <alignment horizontal="center"/>
    </xf>
    <xf numFmtId="0" fontId="13" fillId="2" borderId="2" xfId="45" applyFont="1" applyFill="1" applyBorder="1" applyProtection="1"/>
    <xf numFmtId="0" fontId="13" fillId="2" borderId="0" xfId="45" applyFont="1" applyFill="1" applyBorder="1" applyProtection="1"/>
    <xf numFmtId="0" fontId="13" fillId="2" borderId="2" xfId="45" applyFont="1" applyFill="1" applyBorder="1" applyAlignment="1" applyProtection="1">
      <alignment horizontal="center"/>
    </xf>
    <xf numFmtId="0" fontId="14" fillId="2" borderId="2" xfId="45" applyFont="1" applyFill="1" applyBorder="1" applyProtection="1"/>
    <xf numFmtId="0" fontId="13" fillId="2" borderId="2" xfId="45" applyFont="1" applyFill="1" applyBorder="1" applyAlignment="1" applyProtection="1">
      <alignment horizontal="center"/>
      <protection locked="0"/>
    </xf>
    <xf numFmtId="0" fontId="13" fillId="2" borderId="5" xfId="45" applyFont="1" applyFill="1" applyBorder="1" applyAlignment="1" applyProtection="1">
      <alignment horizontal="center"/>
      <protection locked="0"/>
    </xf>
    <xf numFmtId="0" fontId="13" fillId="2" borderId="6" xfId="45" applyFont="1" applyFill="1" applyBorder="1" applyAlignment="1" applyProtection="1">
      <alignment horizontal="center"/>
      <protection locked="0"/>
    </xf>
    <xf numFmtId="0" fontId="13" fillId="2" borderId="3" xfId="45" applyFont="1" applyFill="1" applyBorder="1" applyAlignment="1" applyProtection="1">
      <alignment horizontal="center"/>
    </xf>
    <xf numFmtId="0" fontId="14" fillId="2" borderId="7" xfId="45" applyFont="1" applyFill="1" applyBorder="1" applyAlignment="1" applyProtection="1">
      <alignment horizontal="center" vertical="center" wrapText="1"/>
    </xf>
    <xf numFmtId="0" fontId="13" fillId="2" borderId="1" xfId="45" applyFont="1" applyFill="1" applyBorder="1" applyAlignment="1" applyProtection="1">
      <alignment horizontal="center"/>
    </xf>
    <xf numFmtId="0" fontId="13" fillId="2" borderId="0" xfId="45" applyFont="1" applyFill="1" applyBorder="1" applyAlignment="1" applyProtection="1">
      <alignment horizontal="center"/>
    </xf>
    <xf numFmtId="0" fontId="14" fillId="2" borderId="0" xfId="45" applyFont="1" applyFill="1" applyAlignment="1" applyProtection="1">
      <alignment horizontal="left" vertical="center"/>
    </xf>
    <xf numFmtId="0" fontId="14" fillId="2" borderId="0" xfId="45" applyFont="1" applyFill="1" applyAlignment="1" applyProtection="1">
      <alignment horizontal="center" vertical="center"/>
    </xf>
    <xf numFmtId="0" fontId="13" fillId="2" borderId="4" xfId="45" applyFont="1" applyFill="1" applyBorder="1" applyAlignment="1" applyProtection="1">
      <alignment wrapText="1"/>
    </xf>
    <xf numFmtId="0" fontId="13" fillId="2" borderId="0" xfId="45" applyFont="1" applyFill="1" applyAlignment="1" applyProtection="1">
      <alignment wrapText="1"/>
    </xf>
    <xf numFmtId="0" fontId="13" fillId="2" borderId="2" xfId="45" applyFont="1" applyFill="1" applyBorder="1" applyAlignment="1" applyProtection="1">
      <alignment wrapText="1"/>
    </xf>
    <xf numFmtId="3" fontId="13" fillId="2" borderId="1" xfId="45" applyNumberFormat="1" applyFont="1" applyFill="1" applyBorder="1" applyAlignment="1" applyProtection="1">
      <alignment horizontal="center"/>
    </xf>
    <xf numFmtId="0" fontId="16" fillId="0" borderId="0" xfId="0" applyFont="1" applyAlignment="1">
      <alignment horizontal="center"/>
    </xf>
    <xf numFmtId="0" fontId="33" fillId="2" borderId="0" xfId="0" applyFont="1" applyFill="1"/>
    <xf numFmtId="3" fontId="14" fillId="3" borderId="1" xfId="45" applyNumberFormat="1" applyFont="1" applyFill="1" applyBorder="1" applyAlignment="1" applyProtection="1">
      <alignment horizontal="right"/>
    </xf>
    <xf numFmtId="3" fontId="14" fillId="2" borderId="1" xfId="31" applyNumberFormat="1" applyFont="1" applyFill="1" applyBorder="1" applyAlignment="1" applyProtection="1">
      <alignment horizontal="right"/>
      <protection hidden="1"/>
    </xf>
    <xf numFmtId="10" fontId="16" fillId="0" borderId="0" xfId="46" applyNumberFormat="1" applyFont="1"/>
    <xf numFmtId="0" fontId="13" fillId="2" borderId="1" xfId="31" applyFont="1" applyFill="1" applyBorder="1" applyProtection="1">
      <protection locked="0"/>
    </xf>
    <xf numFmtId="0" fontId="14" fillId="2" borderId="0" xfId="44" applyFont="1" applyFill="1" applyAlignment="1" applyProtection="1">
      <alignment horizontal="left"/>
      <protection hidden="1"/>
    </xf>
    <xf numFmtId="0" fontId="14" fillId="2" borderId="0" xfId="29" applyFont="1" applyFill="1" applyProtection="1">
      <protection hidden="1"/>
    </xf>
    <xf numFmtId="0" fontId="14" fillId="2" borderId="0" xfId="29" applyFont="1" applyFill="1" applyBorder="1" applyAlignment="1" applyProtection="1">
      <protection hidden="1"/>
    </xf>
    <xf numFmtId="3" fontId="16" fillId="0" borderId="0" xfId="0" applyNumberFormat="1" applyFont="1" applyProtection="1">
      <protection locked="0"/>
    </xf>
    <xf numFmtId="0" fontId="14" fillId="2" borderId="0" xfId="1" applyFont="1" applyFill="1" applyProtection="1">
      <protection hidden="1"/>
    </xf>
    <xf numFmtId="0" fontId="14" fillId="2" borderId="0" xfId="20" applyFont="1" applyFill="1" applyProtection="1">
      <protection hidden="1"/>
    </xf>
    <xf numFmtId="0" fontId="14" fillId="2" borderId="1" xfId="20" applyFont="1" applyFill="1" applyBorder="1" applyAlignment="1" applyProtection="1">
      <alignment horizontal="center" vertical="center"/>
      <protection hidden="1"/>
    </xf>
    <xf numFmtId="49" fontId="13" fillId="2" borderId="1" xfId="20" applyNumberFormat="1" applyFont="1" applyFill="1" applyBorder="1" applyAlignment="1" applyProtection="1">
      <alignment horizontal="left" vertical="top"/>
      <protection hidden="1"/>
    </xf>
    <xf numFmtId="0" fontId="14" fillId="2" borderId="1" xfId="20" applyFont="1" applyFill="1" applyBorder="1" applyAlignment="1" applyProtection="1">
      <alignment horizontal="left" vertical="top"/>
      <protection hidden="1"/>
    </xf>
    <xf numFmtId="0" fontId="26" fillId="2" borderId="1" xfId="20" applyFont="1" applyFill="1" applyBorder="1" applyAlignment="1" applyProtection="1">
      <alignment horizontal="left" vertical="top"/>
      <protection hidden="1"/>
    </xf>
    <xf numFmtId="3" fontId="14" fillId="2" borderId="1" xfId="20" applyNumberFormat="1" applyFont="1" applyFill="1" applyBorder="1" applyProtection="1">
      <protection hidden="1"/>
    </xf>
    <xf numFmtId="0" fontId="13" fillId="2" borderId="1" xfId="20" applyFont="1" applyFill="1" applyBorder="1" applyAlignment="1" applyProtection="1">
      <alignment horizontal="left" vertical="top" indent="2"/>
      <protection hidden="1"/>
    </xf>
    <xf numFmtId="2" fontId="13" fillId="2" borderId="1" xfId="20" applyNumberFormat="1" applyFont="1" applyFill="1" applyBorder="1" applyAlignment="1" applyProtection="1">
      <alignment horizontal="left" vertical="top" wrapText="1" indent="2"/>
      <protection hidden="1"/>
    </xf>
    <xf numFmtId="0" fontId="13" fillId="0" borderId="1" xfId="20" applyFont="1" applyFill="1" applyBorder="1" applyAlignment="1" applyProtection="1">
      <alignment horizontal="left" vertical="top" indent="2"/>
      <protection hidden="1"/>
    </xf>
    <xf numFmtId="0" fontId="13" fillId="2" borderId="1" xfId="43" applyFont="1" applyFill="1" applyBorder="1" applyAlignment="1" applyProtection="1">
      <alignment horizontal="left" vertical="top" indent="2"/>
      <protection hidden="1"/>
    </xf>
    <xf numFmtId="0" fontId="13" fillId="0" borderId="1" xfId="0" applyFont="1" applyBorder="1" applyAlignment="1" applyProtection="1">
      <alignment horizontal="left" vertical="top" wrapText="1" indent="2"/>
      <protection hidden="1"/>
    </xf>
    <xf numFmtId="0" fontId="13" fillId="2" borderId="1" xfId="20" applyFont="1" applyFill="1" applyBorder="1" applyAlignment="1" applyProtection="1">
      <alignment horizontal="left" vertical="top"/>
      <protection hidden="1"/>
    </xf>
    <xf numFmtId="0" fontId="13" fillId="2" borderId="1" xfId="20" applyFont="1" applyFill="1" applyBorder="1" applyAlignment="1" applyProtection="1">
      <alignment horizontal="left" vertical="top" wrapText="1" indent="2"/>
      <protection hidden="1"/>
    </xf>
    <xf numFmtId="0" fontId="14" fillId="2" borderId="1" xfId="20" applyFont="1" applyFill="1" applyBorder="1" applyAlignment="1" applyProtection="1">
      <alignment horizontal="left" vertical="top" wrapText="1"/>
      <protection hidden="1"/>
    </xf>
    <xf numFmtId="3" fontId="14" fillId="3" borderId="1" xfId="20" applyNumberFormat="1" applyFont="1" applyFill="1" applyBorder="1" applyAlignment="1" applyProtection="1">
      <alignment horizontal="right"/>
      <protection hidden="1"/>
    </xf>
    <xf numFmtId="3" fontId="27" fillId="2" borderId="0" xfId="0" applyNumberFormat="1" applyFont="1" applyFill="1"/>
    <xf numFmtId="0" fontId="14" fillId="2" borderId="1" xfId="35" applyFont="1" applyFill="1" applyBorder="1" applyAlignment="1" applyProtection="1">
      <alignment horizontal="left" vertical="top" wrapText="1" indent="2"/>
    </xf>
    <xf numFmtId="40" fontId="14" fillId="2" borderId="1" xfId="25" applyNumberFormat="1" applyFont="1" applyFill="1" applyBorder="1" applyAlignment="1" applyProtection="1">
      <alignment horizontal="center" vertical="top"/>
    </xf>
    <xf numFmtId="0" fontId="9" fillId="0" borderId="0" xfId="0" applyFont="1" applyAlignment="1">
      <alignment horizontal="center"/>
    </xf>
    <xf numFmtId="0" fontId="13" fillId="2" borderId="0" xfId="45" applyFont="1" applyFill="1" applyAlignment="1" applyProtection="1"/>
    <xf numFmtId="0" fontId="13" fillId="2" borderId="0" xfId="44" applyFont="1" applyFill="1" applyAlignment="1" applyProtection="1">
      <alignment horizontal="left" vertical="top"/>
    </xf>
    <xf numFmtId="0" fontId="13" fillId="2" borderId="0" xfId="6" applyFont="1" applyFill="1" applyAlignment="1" applyProtection="1">
      <alignment horizontal="left" vertical="top"/>
    </xf>
    <xf numFmtId="0" fontId="14" fillId="2" borderId="0" xfId="6" applyFont="1" applyFill="1" applyBorder="1" applyAlignment="1" applyProtection="1">
      <alignment horizontal="left" vertical="top"/>
    </xf>
    <xf numFmtId="0" fontId="13" fillId="2" borderId="0" xfId="7" applyFont="1" applyFill="1" applyAlignment="1" applyProtection="1">
      <alignment horizontal="left"/>
    </xf>
    <xf numFmtId="0" fontId="13" fillId="2" borderId="0" xfId="8" applyFont="1" applyFill="1" applyAlignment="1" applyProtection="1">
      <alignment horizontal="left"/>
    </xf>
    <xf numFmtId="0" fontId="13" fillId="0" borderId="0" xfId="21" applyFont="1" applyFill="1" applyProtection="1"/>
    <xf numFmtId="0" fontId="13" fillId="2" borderId="0" xfId="21" applyFont="1" applyFill="1" applyAlignment="1" applyProtection="1">
      <alignment horizontal="left"/>
    </xf>
    <xf numFmtId="0" fontId="13" fillId="0" borderId="0" xfId="21" applyFont="1" applyFill="1" applyBorder="1" applyProtection="1"/>
    <xf numFmtId="0" fontId="13" fillId="2" borderId="0" xfId="21" applyFont="1" applyFill="1" applyProtection="1"/>
    <xf numFmtId="0" fontId="15" fillId="2" borderId="0" xfId="21" applyFont="1" applyFill="1" applyAlignment="1" applyProtection="1">
      <alignment horizontal="center"/>
    </xf>
    <xf numFmtId="1" fontId="13" fillId="2" borderId="0" xfId="42" applyNumberFormat="1" applyFont="1" applyFill="1" applyAlignment="1" applyProtection="1">
      <alignment horizontal="left"/>
    </xf>
    <xf numFmtId="1" fontId="14" fillId="2" borderId="0" xfId="42" applyNumberFormat="1" applyFont="1" applyFill="1" applyProtection="1"/>
    <xf numFmtId="0" fontId="0" fillId="0" borderId="0" xfId="0" applyAlignment="1">
      <alignment horizontal="center" vertical="center"/>
    </xf>
    <xf numFmtId="0" fontId="13" fillId="0" borderId="1" xfId="32" applyNumberFormat="1" applyFont="1" applyFill="1" applyBorder="1" applyAlignment="1" applyProtection="1">
      <alignment horizontal="center" vertical="top"/>
    </xf>
    <xf numFmtId="0" fontId="13" fillId="0" borderId="1" xfId="36" applyFont="1" applyFill="1" applyBorder="1" applyAlignment="1" applyProtection="1">
      <alignment horizontal="center" vertical="top"/>
    </xf>
    <xf numFmtId="0" fontId="13" fillId="0" borderId="1" xfId="32" applyNumberFormat="1" applyFont="1" applyFill="1" applyBorder="1" applyAlignment="1" applyProtection="1"/>
    <xf numFmtId="3" fontId="14" fillId="0" borderId="1" xfId="36" applyNumberFormat="1" applyFont="1" applyFill="1" applyBorder="1" applyAlignment="1" applyProtection="1">
      <alignment horizontal="right"/>
    </xf>
    <xf numFmtId="0" fontId="14" fillId="0" borderId="1" xfId="35" applyFont="1" applyFill="1" applyBorder="1" applyAlignment="1" applyProtection="1">
      <alignment horizontal="center" vertical="top" wrapText="1"/>
    </xf>
    <xf numFmtId="0" fontId="14" fillId="0" borderId="1" xfId="35" applyFont="1" applyFill="1" applyBorder="1" applyAlignment="1" applyProtection="1">
      <alignment horizontal="center" vertical="center" wrapText="1"/>
    </xf>
    <xf numFmtId="0" fontId="16" fillId="0" borderId="0" xfId="0" applyFont="1" applyFill="1" applyProtection="1"/>
    <xf numFmtId="0" fontId="13" fillId="0" borderId="0" xfId="32" applyNumberFormat="1" applyFont="1" applyFill="1" applyAlignment="1" applyProtection="1">
      <alignment horizontal="center" vertical="top"/>
    </xf>
    <xf numFmtId="0" fontId="14" fillId="0" borderId="0" xfId="44" applyFont="1" applyFill="1" applyAlignment="1" applyProtection="1">
      <alignment horizontal="left"/>
    </xf>
    <xf numFmtId="0" fontId="13" fillId="0" borderId="0" xfId="44" applyFont="1" applyFill="1" applyAlignment="1" applyProtection="1">
      <alignment horizontal="right"/>
    </xf>
    <xf numFmtId="0" fontId="14" fillId="0" borderId="0" xfId="32" applyFont="1" applyFill="1" applyAlignment="1" applyProtection="1">
      <alignment horizontal="left"/>
    </xf>
    <xf numFmtId="0" fontId="14" fillId="0" borderId="0" xfId="32" applyNumberFormat="1" applyFont="1" applyFill="1" applyProtection="1"/>
    <xf numFmtId="0" fontId="13" fillId="0" borderId="0" xfId="32" applyNumberFormat="1" applyFont="1" applyFill="1" applyBorder="1" applyAlignment="1" applyProtection="1">
      <alignment horizontal="center" vertical="top"/>
    </xf>
    <xf numFmtId="0" fontId="14" fillId="0" borderId="0" xfId="32" applyNumberFormat="1" applyFont="1" applyFill="1" applyBorder="1" applyProtection="1"/>
    <xf numFmtId="0" fontId="13" fillId="0" borderId="0" xfId="32" applyNumberFormat="1" applyFont="1" applyFill="1" applyProtection="1"/>
    <xf numFmtId="0" fontId="13" fillId="0" borderId="0" xfId="32" applyNumberFormat="1" applyFont="1" applyFill="1" applyBorder="1" applyProtection="1"/>
    <xf numFmtId="0" fontId="16" fillId="0" borderId="0" xfId="0" applyFont="1" applyFill="1" applyAlignment="1" applyProtection="1">
      <alignment horizontal="center" vertical="center"/>
    </xf>
    <xf numFmtId="0" fontId="14" fillId="0" borderId="1" xfId="32" applyNumberFormat="1" applyFont="1" applyFill="1" applyBorder="1" applyAlignment="1" applyProtection="1">
      <alignment horizontal="center" vertical="center"/>
    </xf>
    <xf numFmtId="0" fontId="16" fillId="0" borderId="1" xfId="0" applyFont="1" applyFill="1" applyBorder="1" applyAlignment="1" applyProtection="1">
      <alignment horizontal="center" vertical="top"/>
    </xf>
    <xf numFmtId="0" fontId="13" fillId="0" borderId="1" xfId="32" applyNumberFormat="1" applyFont="1" applyFill="1" applyBorder="1" applyAlignment="1" applyProtection="1">
      <alignment horizontal="left" vertical="top"/>
    </xf>
    <xf numFmtId="0" fontId="13" fillId="0" borderId="1" xfId="32" applyNumberFormat="1" applyFont="1" applyFill="1" applyBorder="1" applyAlignment="1" applyProtection="1">
      <alignment horizontal="left" vertical="top" wrapText="1"/>
    </xf>
    <xf numFmtId="0" fontId="13" fillId="0" borderId="1" xfId="0" applyFont="1" applyFill="1" applyBorder="1" applyAlignment="1" applyProtection="1">
      <alignment horizontal="center" vertical="top"/>
    </xf>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horizontal="left" vertical="center"/>
    </xf>
    <xf numFmtId="0" fontId="15" fillId="0" borderId="1" xfId="0" applyFont="1" applyFill="1" applyBorder="1" applyAlignment="1" applyProtection="1">
      <alignment horizontal="left" vertical="center"/>
    </xf>
    <xf numFmtId="0" fontId="16" fillId="0" borderId="0" xfId="0" applyFont="1" applyFill="1" applyAlignment="1" applyProtection="1">
      <alignment horizontal="center" vertical="top"/>
    </xf>
    <xf numFmtId="0" fontId="13" fillId="0" borderId="1" xfId="45" applyNumberFormat="1" applyFont="1" applyFill="1" applyBorder="1" applyAlignment="1" applyProtection="1">
      <alignment horizontal="left" vertical="top" wrapText="1"/>
    </xf>
    <xf numFmtId="0" fontId="13" fillId="0" borderId="1" xfId="45" applyNumberFormat="1" applyFont="1" applyFill="1" applyBorder="1" applyAlignment="1" applyProtection="1">
      <alignment horizontal="left" vertical="top"/>
    </xf>
    <xf numFmtId="10" fontId="14" fillId="0" borderId="1" xfId="0" applyNumberFormat="1" applyFont="1" applyFill="1" applyBorder="1" applyAlignment="1" applyProtection="1">
      <alignment horizontal="center"/>
      <protection locked="0"/>
    </xf>
    <xf numFmtId="0" fontId="15" fillId="0" borderId="1" xfId="0" applyFont="1" applyFill="1" applyBorder="1" applyAlignment="1" applyProtection="1">
      <alignment horizontal="left" vertical="center" indent="2"/>
    </xf>
    <xf numFmtId="10" fontId="13" fillId="0" borderId="1" xfId="0" applyNumberFormat="1" applyFont="1" applyFill="1" applyBorder="1" applyAlignment="1" applyProtection="1">
      <alignment horizontal="center"/>
      <protection locked="0"/>
    </xf>
    <xf numFmtId="0" fontId="13" fillId="0" borderId="1" xfId="36" applyFont="1" applyFill="1" applyBorder="1" applyAlignment="1" applyProtection="1">
      <alignment horizontal="center" vertical="top" wrapText="1"/>
    </xf>
    <xf numFmtId="3" fontId="14" fillId="0" borderId="1" xfId="36" applyNumberFormat="1" applyFont="1" applyFill="1" applyBorder="1" applyAlignment="1" applyProtection="1">
      <alignment horizontal="center" vertical="center" wrapText="1"/>
    </xf>
    <xf numFmtId="14" fontId="13" fillId="0" borderId="1" xfId="36" applyNumberFormat="1" applyFont="1" applyFill="1" applyBorder="1" applyAlignment="1" applyProtection="1">
      <alignment horizontal="center" vertical="top"/>
    </xf>
    <xf numFmtId="3" fontId="13" fillId="0" borderId="1" xfId="0" applyNumberFormat="1" applyFont="1" applyFill="1" applyBorder="1" applyAlignment="1" applyProtection="1">
      <alignment horizontal="right"/>
      <protection locked="0"/>
    </xf>
    <xf numFmtId="0" fontId="13" fillId="2" borderId="0" xfId="0" applyFont="1" applyFill="1" applyProtection="1"/>
    <xf numFmtId="0" fontId="30" fillId="6" borderId="0" xfId="0" applyFont="1" applyFill="1" applyAlignment="1" applyProtection="1">
      <alignment horizontal="left"/>
    </xf>
    <xf numFmtId="164" fontId="13" fillId="2" borderId="0" xfId="45" applyNumberFormat="1" applyFont="1" applyFill="1" applyBorder="1" applyAlignment="1" applyProtection="1">
      <alignment horizontal="left"/>
    </xf>
    <xf numFmtId="0" fontId="13" fillId="0" borderId="0" xfId="36" applyFont="1" applyFill="1" applyBorder="1" applyAlignment="1" applyProtection="1">
      <alignment horizontal="center" vertical="top"/>
    </xf>
    <xf numFmtId="3" fontId="13" fillId="0" borderId="0" xfId="0" applyNumberFormat="1" applyFont="1" applyFill="1" applyBorder="1" applyAlignment="1" applyProtection="1">
      <alignment horizontal="right"/>
    </xf>
    <xf numFmtId="0" fontId="14" fillId="0" borderId="1" xfId="35" applyFont="1" applyFill="1" applyBorder="1" applyAlignment="1" applyProtection="1">
      <alignment horizontal="center" vertical="center"/>
    </xf>
    <xf numFmtId="9" fontId="13" fillId="3" borderId="1" xfId="38" applyNumberFormat="1" applyFont="1" applyFill="1" applyBorder="1" applyAlignment="1" applyProtection="1">
      <alignment horizontal="center" vertical="center" wrapText="1"/>
      <protection hidden="1"/>
    </xf>
    <xf numFmtId="1" fontId="13" fillId="3" borderId="1" xfId="38" applyNumberFormat="1" applyFont="1" applyFill="1" applyBorder="1" applyAlignment="1" applyProtection="1">
      <alignment horizontal="center" vertical="center" wrapText="1"/>
      <protection hidden="1"/>
    </xf>
    <xf numFmtId="10" fontId="13" fillId="3" borderId="1" xfId="38" applyNumberFormat="1" applyFont="1" applyFill="1" applyBorder="1" applyAlignment="1" applyProtection="1">
      <alignment horizontal="center" vertical="center" wrapText="1"/>
      <protection hidden="1"/>
    </xf>
    <xf numFmtId="2" fontId="13" fillId="3" borderId="1" xfId="38" applyNumberFormat="1" applyFont="1" applyFill="1" applyBorder="1" applyAlignment="1" applyProtection="1">
      <alignment horizontal="center" vertical="center" wrapText="1"/>
      <protection hidden="1"/>
    </xf>
    <xf numFmtId="0" fontId="14" fillId="2" borderId="1" xfId="4" applyFont="1" applyFill="1" applyBorder="1" applyAlignment="1" applyProtection="1">
      <alignment horizontal="center" vertical="center" wrapText="1"/>
      <protection locked="0" hidden="1"/>
    </xf>
    <xf numFmtId="0" fontId="31" fillId="2" borderId="1" xfId="9" applyFont="1" applyFill="1" applyBorder="1" applyAlignment="1" applyProtection="1">
      <alignment horizontal="center" vertical="center"/>
      <protection hidden="1"/>
    </xf>
    <xf numFmtId="0" fontId="13" fillId="2" borderId="1" xfId="9" applyFont="1" applyFill="1" applyBorder="1" applyAlignment="1" applyProtection="1">
      <alignment horizontal="center" vertical="center"/>
      <protection hidden="1"/>
    </xf>
    <xf numFmtId="0" fontId="13" fillId="6" borderId="1" xfId="9" applyFont="1" applyFill="1" applyBorder="1" applyAlignment="1" applyProtection="1">
      <alignment horizontal="left" vertical="top" wrapText="1" indent="2"/>
    </xf>
    <xf numFmtId="0" fontId="14" fillId="2" borderId="0" xfId="45" applyFont="1" applyFill="1" applyAlignment="1" applyProtection="1">
      <alignment horizontal="right"/>
    </xf>
    <xf numFmtId="0" fontId="14" fillId="2" borderId="0" xfId="45" applyFont="1" applyFill="1" applyProtection="1">
      <protection locked="0"/>
    </xf>
    <xf numFmtId="167" fontId="27" fillId="2" borderId="0" xfId="0" applyNumberFormat="1" applyFont="1" applyFill="1"/>
    <xf numFmtId="4" fontId="14" fillId="2" borderId="1" xfId="31" applyNumberFormat="1" applyFont="1" applyFill="1" applyBorder="1" applyAlignment="1" applyProtection="1">
      <alignment horizontal="right"/>
      <protection hidden="1"/>
    </xf>
    <xf numFmtId="0" fontId="13" fillId="0" borderId="1" xfId="32" applyNumberFormat="1" applyFont="1" applyFill="1" applyBorder="1" applyAlignment="1" applyProtection="1">
      <alignment horizontal="center" vertical="center"/>
      <protection locked="0"/>
    </xf>
    <xf numFmtId="0" fontId="41" fillId="0" borderId="1" xfId="0" applyFont="1" applyFill="1" applyBorder="1" applyAlignment="1" applyProtection="1">
      <alignment horizontal="center" vertical="top"/>
    </xf>
    <xf numFmtId="0" fontId="15" fillId="0" borderId="1" xfId="27" applyFont="1" applyFill="1" applyBorder="1" applyAlignment="1" applyProtection="1">
      <alignment horizontal="left" vertical="top" wrapText="1" indent="2"/>
    </xf>
    <xf numFmtId="0" fontId="13" fillId="0" borderId="1" xfId="35" applyFont="1" applyFill="1" applyBorder="1" applyAlignment="1" applyProtection="1">
      <alignment horizontal="left" vertical="top" wrapText="1" indent="1"/>
    </xf>
    <xf numFmtId="0" fontId="15" fillId="0" borderId="1" xfId="27" applyFont="1" applyFill="1" applyBorder="1" applyAlignment="1" applyProtection="1">
      <alignment horizontal="left" vertical="top" wrapText="1" indent="3"/>
    </xf>
    <xf numFmtId="0" fontId="15" fillId="0" borderId="0" xfId="27" applyFont="1" applyFill="1" applyBorder="1" applyAlignment="1" applyProtection="1">
      <alignment horizontal="left" vertical="top" wrapText="1" indent="2"/>
    </xf>
    <xf numFmtId="0" fontId="15" fillId="0" borderId="1" xfId="43" applyFont="1" applyFill="1" applyBorder="1" applyAlignment="1" applyProtection="1">
      <alignment horizontal="left" vertical="top" indent="2"/>
    </xf>
    <xf numFmtId="0" fontId="13" fillId="0" borderId="1" xfId="27" applyFont="1" applyFill="1" applyBorder="1" applyAlignment="1" applyProtection="1">
      <alignment horizontal="left" vertical="top" wrapText="1" indent="2"/>
    </xf>
    <xf numFmtId="0" fontId="15" fillId="0" borderId="1" xfId="43" applyFont="1" applyFill="1" applyBorder="1" applyAlignment="1" applyProtection="1">
      <alignment horizontal="left" vertical="top" indent="4"/>
    </xf>
    <xf numFmtId="0" fontId="13" fillId="0" borderId="1" xfId="13" applyFont="1" applyFill="1" applyBorder="1" applyAlignment="1" applyProtection="1">
      <alignment horizontal="left" vertical="center" wrapText="1" indent="2"/>
    </xf>
    <xf numFmtId="0" fontId="35" fillId="0" borderId="0" xfId="2" applyFont="1" applyFill="1" applyBorder="1" applyProtection="1"/>
    <xf numFmtId="0" fontId="0" fillId="0" borderId="1" xfId="0" applyFill="1" applyBorder="1" applyAlignment="1" applyProtection="1">
      <alignment horizontal="center" vertical="top"/>
    </xf>
    <xf numFmtId="3" fontId="0" fillId="0" borderId="1" xfId="0" applyNumberFormat="1" applyFill="1" applyBorder="1" applyProtection="1"/>
    <xf numFmtId="0" fontId="0" fillId="0" borderId="0" xfId="0" applyFill="1" applyAlignment="1" applyProtection="1">
      <alignment horizontal="center" vertical="top"/>
    </xf>
    <xf numFmtId="0" fontId="0" fillId="0" borderId="0" xfId="0" applyFill="1" applyProtection="1"/>
    <xf numFmtId="0" fontId="14" fillId="0" borderId="1" xfId="43" applyFont="1" applyFill="1" applyBorder="1" applyAlignment="1" applyProtection="1">
      <alignment horizontal="center" vertical="center"/>
    </xf>
    <xf numFmtId="3" fontId="14" fillId="0" borderId="1" xfId="0" applyNumberFormat="1" applyFont="1" applyFill="1" applyBorder="1" applyAlignment="1" applyProtection="1">
      <alignment horizontal="right"/>
    </xf>
    <xf numFmtId="0" fontId="13" fillId="0" borderId="1" xfId="27" applyFont="1" applyFill="1" applyBorder="1" applyAlignment="1" applyProtection="1">
      <alignment horizontal="left" vertical="top" wrapText="1"/>
    </xf>
    <xf numFmtId="0" fontId="42" fillId="2" borderId="0" xfId="0" applyFont="1" applyFill="1" applyAlignment="1" applyProtection="1">
      <alignment horizontal="center" vertical="top"/>
    </xf>
    <xf numFmtId="3" fontId="14" fillId="2" borderId="1" xfId="28" applyNumberFormat="1" applyFont="1" applyFill="1" applyBorder="1" applyAlignment="1" applyProtection="1">
      <alignment horizontal="right"/>
      <protection locked="0"/>
    </xf>
    <xf numFmtId="0" fontId="13" fillId="2" borderId="2" xfId="44" applyFont="1" applyFill="1" applyBorder="1" applyAlignment="1" applyProtection="1">
      <alignment horizontal="left"/>
    </xf>
    <xf numFmtId="0" fontId="36" fillId="2" borderId="2" xfId="45" applyNumberFormat="1" applyFont="1" applyFill="1" applyBorder="1" applyAlignment="1" applyProtection="1">
      <alignment horizontal="left"/>
    </xf>
    <xf numFmtId="0" fontId="36" fillId="2" borderId="2" xfId="0" applyNumberFormat="1" applyFont="1" applyFill="1" applyBorder="1" applyAlignment="1" applyProtection="1">
      <alignment horizontal="left" wrapText="1"/>
    </xf>
    <xf numFmtId="0" fontId="13" fillId="2" borderId="1" xfId="44" applyFont="1" applyFill="1" applyBorder="1" applyAlignment="1" applyProtection="1">
      <alignment horizontal="center"/>
    </xf>
    <xf numFmtId="3" fontId="13" fillId="2" borderId="1" xfId="44" applyNumberFormat="1" applyFont="1" applyFill="1" applyBorder="1" applyAlignment="1" applyProtection="1">
      <alignment horizontal="center"/>
    </xf>
    <xf numFmtId="3" fontId="14" fillId="0" borderId="1" xfId="0" applyNumberFormat="1" applyFont="1" applyFill="1" applyBorder="1" applyAlignment="1" applyProtection="1">
      <alignment horizontal="right"/>
      <protection locked="0"/>
    </xf>
    <xf numFmtId="0" fontId="43" fillId="2" borderId="0" xfId="45" applyFont="1" applyFill="1" applyProtection="1"/>
    <xf numFmtId="3" fontId="14" fillId="7" borderId="1" xfId="0" applyNumberFormat="1" applyFont="1" applyFill="1" applyBorder="1"/>
    <xf numFmtId="0" fontId="44" fillId="0" borderId="0" xfId="0" applyFont="1"/>
    <xf numFmtId="0" fontId="13" fillId="6" borderId="0" xfId="33" applyFont="1" applyFill="1" applyProtection="1">
      <protection locked="0"/>
    </xf>
    <xf numFmtId="0" fontId="14" fillId="6" borderId="0" xfId="33" applyFont="1" applyFill="1" applyProtection="1">
      <protection locked="0"/>
    </xf>
    <xf numFmtId="0" fontId="13" fillId="6" borderId="0" xfId="0" applyFont="1" applyFill="1" applyProtection="1">
      <protection locked="0"/>
    </xf>
    <xf numFmtId="0" fontId="13" fillId="6" borderId="0" xfId="33" applyFont="1" applyFill="1" applyProtection="1">
      <protection locked="0" hidden="1"/>
    </xf>
    <xf numFmtId="0" fontId="45" fillId="6" borderId="0" xfId="0" applyFont="1" applyFill="1"/>
    <xf numFmtId="0" fontId="13" fillId="6" borderId="0" xfId="33" applyFont="1" applyFill="1" applyProtection="1"/>
    <xf numFmtId="0" fontId="13" fillId="6" borderId="0" xfId="33" applyFont="1" applyFill="1" applyBorder="1" applyProtection="1">
      <protection locked="0"/>
    </xf>
    <xf numFmtId="0" fontId="14" fillId="6" borderId="0" xfId="33" applyFont="1" applyFill="1" applyBorder="1" applyAlignment="1" applyProtection="1">
      <alignment horizontal="centerContinuous"/>
      <protection locked="0"/>
    </xf>
    <xf numFmtId="0" fontId="13" fillId="6" borderId="0" xfId="33" applyFont="1" applyFill="1" applyBorder="1" applyProtection="1">
      <protection locked="0" hidden="1"/>
    </xf>
    <xf numFmtId="0" fontId="13" fillId="6" borderId="0" xfId="33" applyFont="1" applyFill="1" applyBorder="1" applyProtection="1"/>
    <xf numFmtId="0" fontId="14" fillId="6" borderId="0" xfId="33" applyFont="1" applyFill="1" applyBorder="1" applyAlignment="1" applyProtection="1">
      <alignment horizontal="right" vertical="center" shrinkToFit="1"/>
    </xf>
    <xf numFmtId="0" fontId="13" fillId="6" borderId="0" xfId="33" applyFont="1" applyFill="1" applyBorder="1" applyAlignment="1" applyProtection="1">
      <alignment horizontal="right"/>
    </xf>
    <xf numFmtId="0" fontId="13" fillId="6" borderId="0" xfId="33" applyFont="1" applyFill="1" applyBorder="1" applyProtection="1">
      <protection hidden="1"/>
    </xf>
    <xf numFmtId="0" fontId="13" fillId="6" borderId="0" xfId="0" applyFont="1" applyFill="1"/>
    <xf numFmtId="0" fontId="14" fillId="6" borderId="1" xfId="33" applyFont="1" applyFill="1" applyBorder="1" applyAlignment="1" applyProtection="1">
      <alignment horizontal="center" vertical="center" wrapText="1"/>
      <protection hidden="1"/>
    </xf>
    <xf numFmtId="0" fontId="13" fillId="6" borderId="1" xfId="33" applyFont="1" applyFill="1" applyBorder="1" applyAlignment="1" applyProtection="1">
      <alignment horizontal="left" vertical="top"/>
    </xf>
    <xf numFmtId="0" fontId="14" fillId="6" borderId="1" xfId="33" applyFont="1" applyFill="1" applyBorder="1" applyAlignment="1" applyProtection="1">
      <alignment horizontal="left"/>
    </xf>
    <xf numFmtId="0" fontId="14" fillId="6" borderId="1" xfId="33" applyFont="1" applyFill="1" applyBorder="1" applyAlignment="1" applyProtection="1">
      <alignment horizontal="left" vertical="top" wrapText="1"/>
    </xf>
    <xf numFmtId="1" fontId="13" fillId="6" borderId="1" xfId="26" applyNumberFormat="1" applyFont="1" applyFill="1" applyBorder="1" applyAlignment="1" applyProtection="1">
      <alignment horizontal="left" vertical="top" indent="2"/>
    </xf>
    <xf numFmtId="1" fontId="13" fillId="6" borderId="1" xfId="26" applyNumberFormat="1" applyFont="1" applyFill="1" applyBorder="1" applyAlignment="1" applyProtection="1">
      <alignment horizontal="left" vertical="top" wrapText="1" indent="2"/>
    </xf>
    <xf numFmtId="40" fontId="13" fillId="6" borderId="1" xfId="26" applyNumberFormat="1" applyFont="1" applyFill="1" applyBorder="1" applyAlignment="1" applyProtection="1">
      <alignment horizontal="left" vertical="top" wrapText="1" indent="2"/>
    </xf>
    <xf numFmtId="0" fontId="13" fillId="6" borderId="1" xfId="26" applyFont="1" applyFill="1" applyBorder="1" applyAlignment="1" applyProtection="1">
      <alignment horizontal="left" vertical="top" wrapText="1" indent="2"/>
    </xf>
    <xf numFmtId="0" fontId="13" fillId="6" borderId="1" xfId="26" applyFont="1" applyFill="1" applyBorder="1" applyAlignment="1" applyProtection="1">
      <alignment horizontal="left" vertical="top" indent="2"/>
    </xf>
    <xf numFmtId="0" fontId="14" fillId="6" borderId="1" xfId="33" applyFont="1" applyFill="1" applyBorder="1" applyAlignment="1" applyProtection="1">
      <alignment vertical="top" wrapText="1"/>
    </xf>
    <xf numFmtId="0" fontId="14" fillId="6" borderId="1" xfId="9" applyFont="1" applyFill="1" applyBorder="1" applyAlignment="1" applyProtection="1">
      <alignment horizontal="left" vertical="top" wrapText="1"/>
    </xf>
    <xf numFmtId="0" fontId="14" fillId="6" borderId="1" xfId="0" applyFont="1" applyFill="1" applyBorder="1" applyAlignment="1">
      <alignment horizontal="center"/>
    </xf>
    <xf numFmtId="3" fontId="14" fillId="6" borderId="1" xfId="0" applyNumberFormat="1" applyFont="1" applyFill="1" applyBorder="1"/>
    <xf numFmtId="3" fontId="14" fillId="3" borderId="1" xfId="13" applyNumberFormat="1" applyFont="1" applyFill="1" applyBorder="1" applyAlignment="1" applyProtection="1">
      <alignment wrapText="1"/>
    </xf>
    <xf numFmtId="0" fontId="37" fillId="6" borderId="0" xfId="0" applyFont="1" applyFill="1"/>
    <xf numFmtId="0" fontId="38" fillId="0" borderId="0" xfId="0" applyFont="1" applyFill="1"/>
    <xf numFmtId="0" fontId="37" fillId="2" borderId="0" xfId="33" applyFont="1" applyFill="1" applyProtection="1"/>
    <xf numFmtId="0" fontId="38" fillId="6" borderId="0" xfId="0" applyFont="1" applyFill="1"/>
    <xf numFmtId="0" fontId="38" fillId="0" borderId="1" xfId="0" applyFont="1" applyBorder="1"/>
    <xf numFmtId="0" fontId="37" fillId="6" borderId="1" xfId="0" applyFont="1" applyFill="1" applyBorder="1"/>
    <xf numFmtId="0" fontId="37" fillId="0" borderId="1" xfId="0" applyFont="1" applyBorder="1"/>
    <xf numFmtId="0" fontId="38" fillId="6" borderId="1" xfId="0" applyFont="1" applyFill="1" applyBorder="1" applyAlignment="1">
      <alignment horizontal="center" vertical="center"/>
    </xf>
    <xf numFmtId="0" fontId="38" fillId="6" borderId="1" xfId="0" applyFont="1" applyFill="1" applyBorder="1"/>
    <xf numFmtId="0" fontId="38" fillId="6" borderId="1" xfId="0" applyFont="1" applyFill="1" applyBorder="1" applyAlignment="1"/>
    <xf numFmtId="0" fontId="38" fillId="0" borderId="1" xfId="0" applyFont="1" applyFill="1" applyBorder="1" applyAlignment="1">
      <alignment wrapText="1"/>
    </xf>
    <xf numFmtId="0" fontId="16" fillId="6" borderId="0" xfId="0" applyFont="1" applyFill="1"/>
    <xf numFmtId="0" fontId="17" fillId="0" borderId="0" xfId="0" applyFont="1" applyFill="1"/>
    <xf numFmtId="0" fontId="16" fillId="6" borderId="0" xfId="33" applyFont="1" applyFill="1" applyProtection="1"/>
    <xf numFmtId="0" fontId="17" fillId="6" borderId="0" xfId="0" applyFont="1" applyFill="1"/>
    <xf numFmtId="0" fontId="17" fillId="6" borderId="0" xfId="33" applyFont="1" applyFill="1" applyBorder="1" applyAlignment="1" applyProtection="1">
      <alignment horizontal="left"/>
    </xf>
    <xf numFmtId="0" fontId="16" fillId="6" borderId="0" xfId="0" applyFont="1" applyFill="1" applyBorder="1"/>
    <xf numFmtId="0" fontId="17" fillId="6" borderId="0" xfId="0" applyFont="1" applyFill="1" applyBorder="1"/>
    <xf numFmtId="0" fontId="43" fillId="0" borderId="1" xfId="35" applyFont="1" applyFill="1" applyBorder="1" applyAlignment="1" applyProtection="1">
      <alignment horizontal="center" vertical="center" wrapText="1"/>
    </xf>
    <xf numFmtId="0" fontId="17" fillId="6" borderId="0" xfId="44" applyFont="1" applyFill="1" applyAlignment="1" applyProtection="1">
      <alignment horizontal="left"/>
    </xf>
    <xf numFmtId="0" fontId="17" fillId="6" borderId="0" xfId="33" applyFont="1" applyFill="1" applyProtection="1"/>
    <xf numFmtId="0" fontId="17" fillId="6" borderId="0" xfId="33" applyFont="1" applyFill="1" applyBorder="1" applyAlignment="1" applyProtection="1"/>
    <xf numFmtId="0" fontId="38" fillId="6" borderId="0" xfId="44" applyFont="1" applyFill="1" applyAlignment="1" applyProtection="1">
      <alignment horizontal="left"/>
    </xf>
    <xf numFmtId="0" fontId="38" fillId="6" borderId="0" xfId="33" applyFont="1" applyFill="1" applyProtection="1"/>
    <xf numFmtId="0" fontId="37" fillId="6" borderId="0" xfId="33" applyFont="1" applyFill="1" applyProtection="1"/>
    <xf numFmtId="0" fontId="38" fillId="6" borderId="0" xfId="33" applyFont="1" applyFill="1" applyBorder="1" applyAlignment="1" applyProtection="1"/>
    <xf numFmtId="0" fontId="37" fillId="6" borderId="0" xfId="33" applyFont="1" applyFill="1" applyBorder="1" applyProtection="1"/>
    <xf numFmtId="0" fontId="38" fillId="6" borderId="0" xfId="33" applyFont="1" applyFill="1" applyBorder="1" applyAlignment="1" applyProtection="1">
      <alignment horizontal="right" vertical="center" shrinkToFit="1"/>
    </xf>
    <xf numFmtId="0" fontId="37" fillId="6" borderId="0" xfId="33" applyFont="1" applyFill="1" applyBorder="1" applyAlignment="1" applyProtection="1">
      <alignment horizontal="right"/>
    </xf>
    <xf numFmtId="0" fontId="37" fillId="6" borderId="1" xfId="33" applyFont="1" applyFill="1" applyBorder="1" applyAlignment="1" applyProtection="1">
      <alignment horizontal="center" vertical="center"/>
    </xf>
    <xf numFmtId="0" fontId="38" fillId="6" borderId="1" xfId="33" applyFont="1" applyFill="1" applyBorder="1" applyAlignment="1" applyProtection="1">
      <alignment horizontal="center" vertical="center" wrapText="1"/>
    </xf>
    <xf numFmtId="0" fontId="37" fillId="6" borderId="1" xfId="33" applyFont="1" applyFill="1" applyBorder="1" applyProtection="1"/>
    <xf numFmtId="0" fontId="38" fillId="6" borderId="1" xfId="33" applyFont="1" applyFill="1" applyBorder="1" applyAlignment="1" applyProtection="1">
      <alignment horizontal="centerContinuous"/>
    </xf>
    <xf numFmtId="0" fontId="38" fillId="6" borderId="1" xfId="33" applyFont="1" applyFill="1" applyBorder="1" applyAlignment="1" applyProtection="1">
      <alignment horizontal="center"/>
    </xf>
    <xf numFmtId="0" fontId="37" fillId="6" borderId="1" xfId="33" applyFont="1" applyFill="1" applyBorder="1" applyAlignment="1" applyProtection="1">
      <alignment horizontal="left" vertical="top"/>
    </xf>
    <xf numFmtId="3" fontId="17" fillId="6" borderId="1" xfId="0" applyNumberFormat="1" applyFont="1" applyFill="1" applyBorder="1" applyProtection="1">
      <protection locked="0"/>
    </xf>
    <xf numFmtId="0" fontId="46" fillId="0" borderId="0" xfId="0" applyFont="1"/>
    <xf numFmtId="0" fontId="44" fillId="0" borderId="0" xfId="0" applyFont="1" applyAlignment="1">
      <alignment horizontal="center"/>
    </xf>
    <xf numFmtId="3" fontId="14" fillId="6" borderId="1" xfId="0" applyNumberFormat="1" applyFont="1" applyFill="1" applyBorder="1" applyProtection="1">
      <protection locked="0"/>
    </xf>
    <xf numFmtId="0" fontId="16" fillId="6" borderId="0" xfId="0" applyFont="1" applyFill="1" applyProtection="1"/>
    <xf numFmtId="3" fontId="17" fillId="7" borderId="1" xfId="0" applyNumberFormat="1" applyFont="1" applyFill="1" applyBorder="1" applyProtection="1"/>
    <xf numFmtId="9" fontId="47" fillId="2" borderId="1" xfId="18" applyNumberFormat="1" applyFont="1" applyFill="1" applyBorder="1" applyAlignment="1" applyProtection="1">
      <alignment horizontal="center"/>
      <protection hidden="1"/>
    </xf>
    <xf numFmtId="3" fontId="43" fillId="3" borderId="1" xfId="18" applyNumberFormat="1" applyFont="1" applyFill="1" applyBorder="1" applyAlignment="1" applyProtection="1">
      <alignment horizontal="right"/>
      <protection hidden="1"/>
    </xf>
    <xf numFmtId="2" fontId="43" fillId="2" borderId="1" xfId="18" applyNumberFormat="1" applyFont="1" applyFill="1" applyBorder="1" applyAlignment="1" applyProtection="1">
      <alignment horizontal="left" vertical="top"/>
      <protection hidden="1"/>
    </xf>
    <xf numFmtId="0" fontId="43" fillId="2" borderId="1" xfId="33" applyFont="1" applyFill="1" applyBorder="1" applyAlignment="1" applyProtection="1">
      <alignment horizontal="center" vertical="center" wrapText="1"/>
    </xf>
    <xf numFmtId="0" fontId="43" fillId="2" borderId="1" xfId="13" applyFont="1" applyFill="1" applyBorder="1" applyAlignment="1" applyProtection="1">
      <alignment horizontal="center" vertical="center" wrapText="1"/>
    </xf>
    <xf numFmtId="0" fontId="43" fillId="2" borderId="1" xfId="13" applyFont="1" applyFill="1" applyBorder="1" applyAlignment="1" applyProtection="1">
      <alignment horizontal="centerContinuous" vertical="center" wrapText="1"/>
    </xf>
    <xf numFmtId="0" fontId="16" fillId="6" borderId="1"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3" fontId="17" fillId="7" borderId="1" xfId="0" applyNumberFormat="1" applyFont="1" applyFill="1" applyBorder="1"/>
    <xf numFmtId="14" fontId="17" fillId="2" borderId="1" xfId="29" applyNumberFormat="1" applyFont="1" applyFill="1" applyBorder="1" applyAlignment="1" applyProtection="1">
      <alignment horizontal="center"/>
      <protection locked="0"/>
    </xf>
    <xf numFmtId="1" fontId="14" fillId="2" borderId="1" xfId="4" applyNumberFormat="1" applyFont="1" applyFill="1" applyBorder="1" applyAlignment="1" applyProtection="1">
      <alignment horizontal="center"/>
      <protection locked="0"/>
    </xf>
    <xf numFmtId="3" fontId="14" fillId="2" borderId="1" xfId="4" applyNumberFormat="1" applyFont="1" applyFill="1" applyBorder="1" applyAlignment="1" applyProtection="1">
      <protection locked="0"/>
    </xf>
    <xf numFmtId="3" fontId="14" fillId="2" borderId="1" xfId="4" applyNumberFormat="1" applyFont="1" applyFill="1" applyBorder="1" applyAlignment="1" applyProtection="1">
      <alignment horizontal="center"/>
      <protection locked="0"/>
    </xf>
    <xf numFmtId="9" fontId="14" fillId="2" borderId="1" xfId="4" applyNumberFormat="1" applyFont="1" applyFill="1" applyBorder="1" applyAlignment="1" applyProtection="1">
      <alignment horizontal="center"/>
      <protection locked="0"/>
    </xf>
    <xf numFmtId="14" fontId="14" fillId="2" borderId="1" xfId="4" applyNumberFormat="1" applyFont="1" applyFill="1" applyBorder="1" applyAlignment="1" applyProtection="1">
      <alignment horizontal="center"/>
      <protection locked="0"/>
    </xf>
    <xf numFmtId="3" fontId="14" fillId="2" borderId="1" xfId="4" applyNumberFormat="1" applyFont="1" applyFill="1" applyBorder="1" applyAlignment="1" applyProtection="1">
      <alignment horizontal="right"/>
      <protection locked="0"/>
    </xf>
    <xf numFmtId="14" fontId="14" fillId="2" borderId="1" xfId="4" applyNumberFormat="1" applyFont="1" applyFill="1" applyBorder="1" applyAlignment="1" applyProtection="1">
      <alignment horizontal="right"/>
      <protection locked="0"/>
    </xf>
    <xf numFmtId="10" fontId="14" fillId="2" borderId="1" xfId="4" applyNumberFormat="1" applyFont="1" applyFill="1" applyBorder="1" applyAlignment="1" applyProtection="1">
      <alignment horizontal="right"/>
      <protection locked="0"/>
    </xf>
    <xf numFmtId="0" fontId="14" fillId="0" borderId="1" xfId="4" applyFont="1" applyFill="1" applyBorder="1" applyAlignment="1" applyProtection="1">
      <alignment horizontal="center"/>
      <protection locked="0" hidden="1"/>
    </xf>
    <xf numFmtId="3" fontId="14" fillId="0" borderId="1" xfId="4" applyNumberFormat="1" applyFont="1" applyFill="1" applyBorder="1" applyAlignment="1" applyProtection="1">
      <alignment horizontal="right"/>
      <protection locked="0" hidden="1"/>
    </xf>
    <xf numFmtId="0" fontId="17" fillId="6" borderId="1" xfId="0" applyFont="1" applyFill="1" applyBorder="1" applyAlignment="1" applyProtection="1">
      <alignment horizontal="center"/>
      <protection locked="0"/>
    </xf>
    <xf numFmtId="0" fontId="17" fillId="6" borderId="1" xfId="0" applyFont="1" applyFill="1" applyBorder="1" applyAlignment="1" applyProtection="1">
      <alignment wrapText="1"/>
      <protection locked="0"/>
    </xf>
    <xf numFmtId="0" fontId="16" fillId="6" borderId="1" xfId="0" applyFont="1" applyFill="1" applyBorder="1" applyAlignment="1" applyProtection="1">
      <alignment horizontal="center"/>
      <protection locked="0"/>
    </xf>
    <xf numFmtId="0" fontId="16" fillId="6" borderId="1" xfId="0" applyFont="1" applyFill="1" applyBorder="1" applyAlignment="1" applyProtection="1">
      <alignment wrapText="1"/>
      <protection locked="0"/>
    </xf>
    <xf numFmtId="0" fontId="16" fillId="6" borderId="1" xfId="0" applyFont="1" applyFill="1" applyBorder="1" applyProtection="1">
      <protection locked="0"/>
    </xf>
    <xf numFmtId="0" fontId="37" fillId="6" borderId="0" xfId="0" applyFont="1" applyFill="1" applyProtection="1"/>
    <xf numFmtId="0" fontId="38" fillId="6" borderId="0" xfId="33" applyFont="1" applyFill="1" applyBorder="1" applyAlignment="1" applyProtection="1">
      <alignment horizontal="centerContinuous"/>
    </xf>
    <xf numFmtId="0" fontId="38" fillId="6" borderId="1" xfId="0" applyFont="1" applyFill="1" applyBorder="1" applyAlignment="1" applyProtection="1">
      <alignment horizontal="center" vertical="center" wrapText="1"/>
    </xf>
    <xf numFmtId="0" fontId="37" fillId="6" borderId="0" xfId="0" applyFont="1" applyFill="1" applyAlignment="1" applyProtection="1">
      <alignment horizontal="center" vertical="center"/>
    </xf>
    <xf numFmtId="0" fontId="38" fillId="6" borderId="1" xfId="0" applyFont="1" applyFill="1" applyBorder="1" applyAlignment="1" applyProtection="1">
      <alignment wrapText="1"/>
    </xf>
    <xf numFmtId="0" fontId="14" fillId="7" borderId="1" xfId="0" applyFont="1" applyFill="1" applyBorder="1" applyProtection="1"/>
    <xf numFmtId="0" fontId="37" fillId="6" borderId="1" xfId="0" applyFont="1" applyFill="1" applyBorder="1" applyAlignment="1" applyProtection="1">
      <alignment horizontal="left" wrapText="1" indent="2"/>
    </xf>
    <xf numFmtId="0" fontId="14" fillId="6" borderId="0" xfId="0" applyFont="1" applyFill="1" applyProtection="1"/>
    <xf numFmtId="0" fontId="37" fillId="6" borderId="1" xfId="0" applyFont="1" applyFill="1" applyBorder="1" applyProtection="1"/>
    <xf numFmtId="0" fontId="38" fillId="6" borderId="1" xfId="0" applyFont="1" applyFill="1" applyBorder="1" applyAlignment="1" applyProtection="1"/>
    <xf numFmtId="0" fontId="14" fillId="6" borderId="1" xfId="0" applyFont="1" applyFill="1" applyBorder="1" applyProtection="1"/>
    <xf numFmtId="0" fontId="38" fillId="6" borderId="1" xfId="0" applyFont="1" applyFill="1" applyBorder="1" applyAlignment="1" applyProtection="1">
      <alignment horizontal="left" indent="2"/>
    </xf>
    <xf numFmtId="3" fontId="14" fillId="7" borderId="1" xfId="0" applyNumberFormat="1" applyFont="1" applyFill="1" applyBorder="1" applyProtection="1"/>
    <xf numFmtId="0" fontId="37" fillId="6" borderId="1" xfId="0" applyFont="1" applyFill="1" applyBorder="1" applyAlignment="1" applyProtection="1">
      <alignment horizontal="left" indent="2"/>
    </xf>
    <xf numFmtId="0" fontId="17" fillId="6"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xf>
    <xf numFmtId="0" fontId="16" fillId="6" borderId="1" xfId="0" applyFont="1" applyFill="1" applyBorder="1" applyAlignment="1" applyProtection="1">
      <alignment horizontal="center" vertical="center"/>
    </xf>
    <xf numFmtId="0" fontId="16" fillId="6" borderId="0" xfId="0" applyFont="1" applyFill="1" applyBorder="1" applyProtection="1"/>
    <xf numFmtId="0" fontId="17" fillId="6" borderId="0" xfId="0" applyFont="1" applyFill="1" applyBorder="1" applyProtection="1"/>
    <xf numFmtId="0" fontId="17" fillId="0" borderId="0" xfId="0" applyFont="1" applyFill="1" applyProtection="1"/>
    <xf numFmtId="0" fontId="17" fillId="6" borderId="0" xfId="0" applyFont="1" applyFill="1" applyProtection="1"/>
    <xf numFmtId="0" fontId="47" fillId="0" borderId="1" xfId="7" applyFont="1" applyFill="1" applyBorder="1" applyAlignment="1" applyProtection="1">
      <alignment horizontal="left" vertical="top"/>
    </xf>
    <xf numFmtId="0" fontId="47" fillId="0" borderId="1" xfId="43" applyFont="1" applyFill="1" applyBorder="1" applyAlignment="1" applyProtection="1">
      <alignment horizontal="left" vertical="top" indent="2"/>
    </xf>
    <xf numFmtId="0" fontId="47" fillId="0" borderId="1" xfId="18" applyFont="1" applyFill="1" applyBorder="1" applyAlignment="1" applyProtection="1">
      <alignment horizontal="left" vertical="top" indent="2"/>
      <protection hidden="1"/>
    </xf>
    <xf numFmtId="3" fontId="43" fillId="2" borderId="1" xfId="5" applyNumberFormat="1" applyFont="1" applyFill="1" applyBorder="1" applyAlignment="1" applyProtection="1">
      <alignment horizontal="right"/>
      <protection locked="0"/>
    </xf>
    <xf numFmtId="166" fontId="47" fillId="2" borderId="1" xfId="18" applyNumberFormat="1" applyFont="1" applyFill="1" applyBorder="1" applyAlignment="1" applyProtection="1">
      <alignment horizontal="left" vertical="top"/>
      <protection hidden="1"/>
    </xf>
    <xf numFmtId="0" fontId="47" fillId="0" borderId="1" xfId="42" applyFont="1" applyFill="1" applyBorder="1" applyAlignment="1" applyProtection="1">
      <alignment horizontal="left" vertical="top" wrapText="1" indent="2"/>
      <protection hidden="1"/>
    </xf>
    <xf numFmtId="3" fontId="14" fillId="3" borderId="1" xfId="20" applyNumberFormat="1" applyFont="1" applyFill="1" applyBorder="1" applyProtection="1">
      <protection hidden="1"/>
    </xf>
    <xf numFmtId="0" fontId="13" fillId="6" borderId="1" xfId="33" applyFont="1" applyFill="1" applyBorder="1" applyProtection="1"/>
    <xf numFmtId="0" fontId="14" fillId="6" borderId="1" xfId="33"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47" fillId="0" borderId="1" xfId="35" applyFont="1" applyFill="1" applyBorder="1" applyAlignment="1" applyProtection="1">
      <alignment horizontal="left" vertical="top" wrapText="1"/>
    </xf>
    <xf numFmtId="0" fontId="47" fillId="0" borderId="1" xfId="21" applyFont="1" applyFill="1" applyBorder="1" applyAlignment="1" applyProtection="1">
      <alignment horizontal="left" vertical="top"/>
    </xf>
    <xf numFmtId="3" fontId="43" fillId="2" borderId="1" xfId="21" applyNumberFormat="1" applyFont="1" applyFill="1" applyBorder="1" applyAlignment="1" applyProtection="1">
      <alignment horizontal="right"/>
      <protection locked="0"/>
    </xf>
    <xf numFmtId="0" fontId="45" fillId="6" borderId="0" xfId="0" applyFont="1" applyFill="1" applyBorder="1" applyAlignment="1">
      <alignment horizontal="left"/>
    </xf>
    <xf numFmtId="0" fontId="14" fillId="2" borderId="1" xfId="33" applyFont="1" applyFill="1" applyBorder="1" applyAlignment="1" applyProtection="1">
      <alignment horizontal="left" vertical="top" wrapText="1" indent="2"/>
    </xf>
    <xf numFmtId="0" fontId="47" fillId="2" borderId="1" xfId="11" applyFont="1" applyFill="1" applyBorder="1" applyAlignment="1" applyProtection="1">
      <alignment horizontal="left" vertical="top" wrapText="1" indent="2"/>
    </xf>
    <xf numFmtId="0" fontId="13" fillId="6" borderId="0" xfId="33" applyFont="1" applyFill="1" applyAlignment="1" applyProtection="1">
      <alignment wrapText="1"/>
      <protection locked="0"/>
    </xf>
    <xf numFmtId="1" fontId="17" fillId="2" borderId="1" xfId="29" applyNumberFormat="1" applyFont="1" applyFill="1" applyBorder="1" applyAlignment="1" applyProtection="1">
      <protection locked="0"/>
    </xf>
    <xf numFmtId="49" fontId="47" fillId="2" borderId="1" xfId="20" applyNumberFormat="1" applyFont="1" applyFill="1" applyBorder="1" applyAlignment="1" applyProtection="1">
      <alignment horizontal="left" vertical="top"/>
      <protection hidden="1"/>
    </xf>
    <xf numFmtId="0" fontId="47" fillId="2" borderId="1" xfId="20" applyFont="1" applyFill="1" applyBorder="1" applyAlignment="1" applyProtection="1">
      <alignment horizontal="left" vertical="top" wrapText="1" indent="2"/>
      <protection hidden="1"/>
    </xf>
    <xf numFmtId="3" fontId="43" fillId="2" borderId="1" xfId="20" applyNumberFormat="1" applyFont="1" applyFill="1" applyBorder="1" applyAlignment="1" applyProtection="1">
      <alignment horizontal="right"/>
      <protection locked="0"/>
    </xf>
    <xf numFmtId="3" fontId="43" fillId="0" borderId="1" xfId="6" applyNumberFormat="1" applyFont="1" applyBorder="1" applyAlignment="1" applyProtection="1">
      <alignment horizontal="right"/>
      <protection locked="0"/>
    </xf>
    <xf numFmtId="3" fontId="43" fillId="2" borderId="1" xfId="6" applyNumberFormat="1" applyFont="1" applyFill="1" applyBorder="1" applyAlignment="1" applyProtection="1">
      <alignment horizontal="right"/>
      <protection locked="0"/>
    </xf>
    <xf numFmtId="3" fontId="43" fillId="2" borderId="1" xfId="43" applyNumberFormat="1" applyFont="1" applyFill="1" applyBorder="1" applyAlignment="1" applyProtection="1">
      <alignment horizontal="right"/>
      <protection locked="0"/>
    </xf>
    <xf numFmtId="0" fontId="0" fillId="0" borderId="0" xfId="0"/>
    <xf numFmtId="0" fontId="14" fillId="0" borderId="1" xfId="47" applyFont="1" applyBorder="1" applyAlignment="1">
      <alignment horizontal="center" vertical="center" wrapText="1"/>
    </xf>
    <xf numFmtId="0" fontId="41" fillId="0" borderId="1" xfId="0" applyFont="1" applyBorder="1" applyAlignment="1">
      <alignment horizontal="center" vertical="center"/>
    </xf>
    <xf numFmtId="0" fontId="13" fillId="0" borderId="1" xfId="47" applyFont="1" applyBorder="1" applyAlignment="1">
      <alignment vertical="top" wrapText="1"/>
    </xf>
    <xf numFmtId="0" fontId="51" fillId="0" borderId="0" xfId="0" applyFont="1" applyAlignment="1">
      <alignment vertical="center"/>
    </xf>
    <xf numFmtId="0" fontId="19" fillId="0" borderId="0" xfId="47" applyFont="1" applyAlignment="1">
      <alignment vertical="center" wrapText="1"/>
    </xf>
    <xf numFmtId="0" fontId="52" fillId="0" borderId="0" xfId="0" applyFont="1" applyAlignment="1">
      <alignment horizontal="center" vertical="center"/>
    </xf>
    <xf numFmtId="0" fontId="53" fillId="0" borderId="0" xfId="0" applyFont="1" applyProtection="1">
      <protection locked="0"/>
    </xf>
    <xf numFmtId="9" fontId="4" fillId="2" borderId="1" xfId="4" applyNumberFormat="1" applyFont="1" applyFill="1" applyBorder="1" applyAlignment="1" applyProtection="1">
      <alignment horizontal="center"/>
      <protection locked="0"/>
    </xf>
    <xf numFmtId="0" fontId="4" fillId="0" borderId="1" xfId="4" applyFont="1" applyFill="1" applyBorder="1" applyAlignment="1" applyProtection="1">
      <alignment horizontal="center"/>
      <protection locked="0" hidden="1"/>
    </xf>
    <xf numFmtId="3" fontId="14" fillId="2" borderId="1" xfId="0" applyNumberFormat="1" applyFont="1" applyFill="1" applyBorder="1" applyAlignment="1" applyProtection="1">
      <alignment horizontal="right"/>
      <protection locked="0"/>
    </xf>
    <xf numFmtId="0" fontId="16" fillId="0" borderId="0" xfId="0" applyFont="1" applyProtection="1"/>
    <xf numFmtId="1" fontId="24" fillId="2" borderId="1" xfId="29" applyNumberFormat="1" applyFont="1" applyFill="1" applyBorder="1" applyAlignment="1" applyProtection="1">
      <alignment horizontal="center"/>
    </xf>
    <xf numFmtId="1" fontId="12" fillId="2" borderId="1" xfId="4" applyNumberFormat="1" applyFont="1" applyFill="1" applyBorder="1" applyAlignment="1" applyProtection="1">
      <alignment horizontal="center"/>
    </xf>
    <xf numFmtId="0" fontId="19" fillId="0" borderId="0" xfId="0" applyFont="1" applyProtection="1"/>
    <xf numFmtId="0" fontId="47" fillId="0" borderId="1" xfId="0" applyFont="1" applyFill="1" applyBorder="1" applyAlignment="1" applyProtection="1">
      <alignment vertical="top"/>
    </xf>
    <xf numFmtId="0" fontId="47" fillId="0" borderId="1" xfId="38" applyFont="1" applyFill="1" applyBorder="1" applyAlignment="1" applyProtection="1">
      <alignment horizontal="left" vertical="top" wrapText="1"/>
    </xf>
    <xf numFmtId="0" fontId="47" fillId="0" borderId="1" xfId="38" applyFont="1" applyFill="1" applyBorder="1" applyAlignment="1" applyProtection="1">
      <alignment horizontal="center" vertical="center"/>
    </xf>
    <xf numFmtId="0" fontId="54" fillId="0" borderId="1" xfId="38" applyFont="1" applyFill="1" applyBorder="1" applyAlignment="1" applyProtection="1">
      <alignment horizontal="center" vertical="top" wrapText="1"/>
    </xf>
    <xf numFmtId="2" fontId="47" fillId="3" borderId="1" xfId="38" applyNumberFormat="1" applyFont="1" applyFill="1" applyBorder="1" applyAlignment="1" applyProtection="1">
      <alignment horizontal="center" vertical="center"/>
    </xf>
    <xf numFmtId="1" fontId="47" fillId="3" borderId="1" xfId="38" applyNumberFormat="1" applyFont="1" applyFill="1" applyBorder="1" applyAlignment="1" applyProtection="1">
      <alignment horizontal="center" vertical="center" wrapText="1"/>
    </xf>
    <xf numFmtId="10" fontId="47" fillId="3" borderId="1" xfId="38" applyNumberFormat="1" applyFont="1" applyFill="1" applyBorder="1" applyAlignment="1" applyProtection="1">
      <alignment horizontal="center" vertical="center" wrapText="1"/>
    </xf>
    <xf numFmtId="0" fontId="0" fillId="0" borderId="0" xfId="0" applyAlignment="1">
      <alignment horizontal="center" vertical="center"/>
    </xf>
    <xf numFmtId="0" fontId="47" fillId="2" borderId="1" xfId="10" applyFont="1" applyFill="1" applyBorder="1" applyAlignment="1" applyProtection="1">
      <alignment horizontal="left" vertical="top" wrapText="1" indent="2"/>
    </xf>
    <xf numFmtId="0" fontId="14" fillId="2" borderId="1" xfId="29" applyFont="1" applyFill="1" applyBorder="1" applyAlignment="1" applyProtection="1">
      <alignment horizontal="center"/>
      <protection locked="0"/>
    </xf>
    <xf numFmtId="0" fontId="14" fillId="2" borderId="1" xfId="29" applyFont="1" applyFill="1" applyBorder="1" applyAlignment="1" applyProtection="1">
      <protection locked="0"/>
    </xf>
    <xf numFmtId="1" fontId="55" fillId="2" borderId="1" xfId="29" applyNumberFormat="1" applyFont="1" applyFill="1" applyBorder="1" applyAlignment="1" applyProtection="1">
      <alignment horizontal="center"/>
      <protection locked="0"/>
    </xf>
    <xf numFmtId="0" fontId="14" fillId="2" borderId="1" xfId="29" applyFont="1" applyFill="1" applyBorder="1" applyAlignment="1" applyProtection="1">
      <alignment horizontal="right"/>
      <protection locked="0"/>
    </xf>
    <xf numFmtId="0" fontId="14" fillId="0" borderId="1" xfId="29" applyFont="1" applyFill="1" applyBorder="1" applyAlignment="1" applyProtection="1">
      <alignment horizontal="right"/>
      <protection locked="0"/>
    </xf>
    <xf numFmtId="0" fontId="14" fillId="2" borderId="1" xfId="0" applyFont="1" applyFill="1" applyBorder="1" applyAlignment="1" applyProtection="1">
      <alignment horizontal="center"/>
      <protection locked="0"/>
    </xf>
    <xf numFmtId="0" fontId="14" fillId="2" borderId="1" xfId="0" applyFont="1" applyFill="1" applyBorder="1" applyAlignment="1" applyProtection="1">
      <alignment horizontal="right"/>
      <protection locked="0"/>
    </xf>
    <xf numFmtId="0" fontId="14" fillId="2" borderId="1" xfId="0" applyFont="1" applyFill="1" applyBorder="1" applyProtection="1">
      <protection locked="0"/>
    </xf>
    <xf numFmtId="0" fontId="4" fillId="2" borderId="1" xfId="4" applyFont="1" applyFill="1" applyBorder="1" applyAlignment="1" applyProtection="1">
      <alignment horizontal="center"/>
      <protection locked="0"/>
    </xf>
    <xf numFmtId="0" fontId="4" fillId="2" borderId="1" xfId="4" applyFont="1" applyFill="1" applyBorder="1" applyAlignment="1" applyProtection="1">
      <protection locked="0"/>
    </xf>
    <xf numFmtId="10" fontId="4" fillId="2" borderId="1" xfId="4" applyNumberFormat="1" applyFont="1" applyFill="1" applyBorder="1" applyAlignment="1" applyProtection="1">
      <alignment horizontal="center"/>
      <protection locked="0"/>
    </xf>
    <xf numFmtId="168" fontId="4" fillId="2" borderId="1" xfId="4" applyNumberFormat="1" applyFont="1" applyFill="1" applyBorder="1" applyAlignment="1" applyProtection="1">
      <alignment horizontal="center"/>
      <protection locked="0"/>
    </xf>
    <xf numFmtId="0" fontId="4" fillId="2" borderId="1" xfId="4" applyFont="1" applyFill="1" applyBorder="1" applyAlignment="1" applyProtection="1">
      <alignment horizontal="right"/>
      <protection locked="0"/>
    </xf>
    <xf numFmtId="0" fontId="4" fillId="0" borderId="1" xfId="4" applyFont="1" applyFill="1" applyBorder="1" applyAlignment="1" applyProtection="1">
      <alignment horizontal="right"/>
      <protection locked="0" hidden="1"/>
    </xf>
    <xf numFmtId="3" fontId="4" fillId="2" borderId="13" xfId="48" applyNumberFormat="1" applyFont="1" applyFill="1" applyBorder="1" applyAlignment="1" applyProtection="1">
      <alignment horizontal="right"/>
      <protection locked="0"/>
    </xf>
    <xf numFmtId="3" fontId="4" fillId="2" borderId="9" xfId="48" applyNumberFormat="1" applyFont="1" applyFill="1" applyBorder="1" applyAlignment="1" applyProtection="1">
      <alignment horizontal="right"/>
      <protection locked="0"/>
    </xf>
    <xf numFmtId="3" fontId="0" fillId="0" borderId="0" xfId="0" applyNumberFormat="1"/>
    <xf numFmtId="3" fontId="13" fillId="0" borderId="1" xfId="31" applyNumberFormat="1"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protection locked="0"/>
    </xf>
    <xf numFmtId="9" fontId="13" fillId="0" borderId="1" xfId="0" applyNumberFormat="1" applyFont="1" applyFill="1" applyBorder="1" applyAlignment="1" applyProtection="1">
      <alignment horizontal="center"/>
      <protection locked="0"/>
    </xf>
    <xf numFmtId="0" fontId="1" fillId="0" borderId="0" xfId="0" applyFont="1" applyAlignment="1">
      <alignment vertical="top" wrapText="1"/>
    </xf>
    <xf numFmtId="3" fontId="1" fillId="0" borderId="0" xfId="0" applyNumberFormat="1" applyFont="1" applyAlignment="1">
      <alignment wrapText="1"/>
    </xf>
    <xf numFmtId="3" fontId="56" fillId="3" borderId="1" xfId="18" applyNumberFormat="1" applyFont="1" applyFill="1" applyBorder="1" applyAlignment="1" applyProtection="1">
      <alignment horizontal="right"/>
      <protection hidden="1"/>
    </xf>
    <xf numFmtId="3" fontId="57" fillId="2" borderId="1" xfId="18" applyNumberFormat="1" applyFont="1" applyFill="1" applyBorder="1" applyAlignment="1" applyProtection="1">
      <alignment horizontal="center"/>
    </xf>
    <xf numFmtId="0" fontId="14" fillId="0" borderId="13" xfId="47" applyFont="1" applyBorder="1" applyAlignment="1" applyProtection="1">
      <alignment horizontal="center" vertical="top" wrapText="1"/>
    </xf>
    <xf numFmtId="0" fontId="14" fillId="0" borderId="13" xfId="47" applyFont="1" applyBorder="1" applyAlignment="1" applyProtection="1">
      <alignment horizontal="right" vertical="top" wrapText="1"/>
    </xf>
    <xf numFmtId="0" fontId="0" fillId="0" borderId="13" xfId="0" applyBorder="1" applyAlignment="1" applyProtection="1">
      <alignment horizontal="center" vertical="top"/>
    </xf>
    <xf numFmtId="0" fontId="0" fillId="0" borderId="1" xfId="0" applyBorder="1" applyAlignment="1" applyProtection="1">
      <alignment vertical="top"/>
    </xf>
    <xf numFmtId="0" fontId="41" fillId="0" borderId="1" xfId="0" applyFont="1" applyBorder="1" applyAlignment="1" applyProtection="1">
      <alignment horizontal="center" vertical="top"/>
    </xf>
    <xf numFmtId="0" fontId="13" fillId="0" borderId="1" xfId="47" applyFont="1" applyBorder="1" applyAlignment="1" applyProtection="1">
      <alignment horizontal="left" vertical="top" wrapText="1"/>
    </xf>
    <xf numFmtId="0" fontId="0" fillId="0" borderId="1" xfId="0" applyBorder="1" applyAlignment="1" applyProtection="1">
      <alignment horizontal="center" vertical="top"/>
    </xf>
    <xf numFmtId="0" fontId="1" fillId="0" borderId="1" xfId="0" applyFont="1" applyBorder="1" applyAlignment="1" applyProtection="1">
      <alignment horizontal="center" vertical="top"/>
    </xf>
    <xf numFmtId="0" fontId="1" fillId="0" borderId="1" xfId="0" applyFont="1" applyFill="1" applyBorder="1" applyAlignment="1" applyProtection="1">
      <alignment horizontal="center" vertical="top"/>
    </xf>
    <xf numFmtId="0" fontId="47" fillId="0" borderId="1" xfId="47" applyFont="1" applyBorder="1" applyAlignment="1" applyProtection="1">
      <alignment horizontal="left" vertical="top" wrapText="1"/>
    </xf>
    <xf numFmtId="0" fontId="0" fillId="0" borderId="1" xfId="0" applyBorder="1" applyAlignment="1" applyProtection="1">
      <alignment horizontal="center" vertical="center"/>
    </xf>
    <xf numFmtId="0" fontId="1" fillId="0" borderId="1" xfId="0" applyFont="1" applyFill="1" applyBorder="1" applyAlignment="1" applyProtection="1">
      <alignment horizontal="center"/>
    </xf>
    <xf numFmtId="0" fontId="1" fillId="0" borderId="1" xfId="0" applyFont="1" applyBorder="1" applyAlignment="1" applyProtection="1">
      <alignment horizontal="center"/>
    </xf>
    <xf numFmtId="0" fontId="1" fillId="0" borderId="1" xfId="0" applyFont="1" applyBorder="1" applyAlignment="1" applyProtection="1">
      <alignment horizontal="center" vertical="center"/>
    </xf>
    <xf numFmtId="0" fontId="47" fillId="0" borderId="1" xfId="47" quotePrefix="1" applyFont="1" applyBorder="1" applyAlignment="1" applyProtection="1">
      <alignment horizontal="left" vertical="top" wrapText="1"/>
    </xf>
    <xf numFmtId="0" fontId="1" fillId="0" borderId="1" xfId="0" applyFont="1" applyFill="1" applyBorder="1" applyAlignment="1" applyProtection="1">
      <alignment horizontal="center" vertical="center" wrapText="1"/>
    </xf>
    <xf numFmtId="0" fontId="49" fillId="0" borderId="0" xfId="0" applyFont="1" applyAlignment="1">
      <alignment horizontal="center" vertical="center"/>
    </xf>
    <xf numFmtId="0" fontId="18" fillId="0" borderId="2" xfId="47" applyFont="1" applyBorder="1" applyAlignment="1">
      <alignment horizontal="center" vertical="center" wrapText="1"/>
    </xf>
    <xf numFmtId="0" fontId="13" fillId="2" borderId="2" xfId="45" applyFont="1" applyFill="1" applyBorder="1" applyAlignment="1" applyProtection="1">
      <alignment horizontal="center"/>
      <protection locked="0"/>
    </xf>
    <xf numFmtId="0" fontId="13" fillId="2" borderId="9" xfId="45" applyFont="1" applyFill="1" applyBorder="1" applyAlignment="1" applyProtection="1">
      <alignment horizontal="center"/>
    </xf>
    <xf numFmtId="0" fontId="0" fillId="0" borderId="10" xfId="0" applyBorder="1"/>
    <xf numFmtId="0" fontId="0" fillId="0" borderId="11" xfId="0" applyBorder="1"/>
    <xf numFmtId="0" fontId="0" fillId="0" borderId="12" xfId="0" applyBorder="1"/>
    <xf numFmtId="0" fontId="0" fillId="0" borderId="6" xfId="0" applyBorder="1"/>
    <xf numFmtId="0" fontId="0" fillId="0" borderId="5" xfId="0" applyBorder="1"/>
    <xf numFmtId="0" fontId="14" fillId="2" borderId="7" xfId="45" applyFont="1" applyFill="1" applyBorder="1" applyAlignment="1" applyProtection="1">
      <alignment horizontal="center" vertical="center" wrapText="1"/>
    </xf>
    <xf numFmtId="0" fontId="0" fillId="0" borderId="4" xfId="0" applyBorder="1"/>
    <xf numFmtId="0" fontId="0" fillId="0" borderId="8" xfId="0" applyBorder="1"/>
    <xf numFmtId="0" fontId="14" fillId="2" borderId="0" xfId="45" applyFont="1" applyFill="1" applyAlignment="1" applyProtection="1">
      <alignment horizontal="center"/>
    </xf>
    <xf numFmtId="0" fontId="16" fillId="0" borderId="0" xfId="0" applyFont="1" applyAlignment="1" applyProtection="1">
      <alignment horizontal="center"/>
    </xf>
    <xf numFmtId="0" fontId="13" fillId="2" borderId="9" xfId="45" applyFont="1" applyFill="1" applyBorder="1" applyAlignment="1" applyProtection="1">
      <alignment horizontal="center"/>
      <protection locked="0"/>
    </xf>
    <xf numFmtId="0" fontId="0" fillId="0" borderId="3" xfId="0" applyBorder="1"/>
    <xf numFmtId="0" fontId="0" fillId="0" borderId="0" xfId="0"/>
    <xf numFmtId="0" fontId="0" fillId="0" borderId="2" xfId="0" applyBorder="1"/>
    <xf numFmtId="0" fontId="13" fillId="2" borderId="13" xfId="45" applyFont="1" applyFill="1" applyBorder="1" applyAlignment="1" applyProtection="1">
      <alignment horizontal="center"/>
    </xf>
    <xf numFmtId="0" fontId="0" fillId="0" borderId="14" xfId="0" applyBorder="1"/>
    <xf numFmtId="0" fontId="0" fillId="0" borderId="15" xfId="0" applyBorder="1"/>
    <xf numFmtId="0" fontId="14" fillId="2" borderId="0" xfId="45" applyFont="1" applyFill="1" applyAlignment="1" applyProtection="1">
      <alignment horizontal="left" vertical="top" wrapText="1"/>
    </xf>
    <xf numFmtId="0" fontId="14" fillId="2" borderId="0" xfId="45" applyFont="1" applyFill="1" applyAlignment="1" applyProtection="1">
      <alignment horizontal="left" vertical="top"/>
    </xf>
    <xf numFmtId="0" fontId="17" fillId="2" borderId="0" xfId="0" applyFont="1" applyFill="1" applyAlignment="1" applyProtection="1">
      <alignment horizontal="left" vertical="top"/>
    </xf>
    <xf numFmtId="0" fontId="14" fillId="2" borderId="1" xfId="45" applyFont="1" applyFill="1" applyBorder="1" applyAlignment="1" applyProtection="1">
      <alignment horizontal="center" vertical="center"/>
    </xf>
    <xf numFmtId="0" fontId="14" fillId="2" borderId="0" xfId="45" applyFont="1" applyFill="1" applyAlignment="1" applyProtection="1">
      <alignment horizontal="left"/>
      <protection locked="0"/>
    </xf>
    <xf numFmtId="0" fontId="48" fillId="0" borderId="0" xfId="0" applyFont="1" applyAlignment="1" applyProtection="1">
      <alignment horizontal="right" wrapText="1"/>
    </xf>
    <xf numFmtId="0" fontId="0" fillId="0" borderId="0" xfId="0" applyAlignment="1" applyProtection="1">
      <alignment horizontal="right"/>
    </xf>
    <xf numFmtId="14" fontId="14" fillId="2" borderId="2" xfId="45" applyNumberFormat="1" applyFont="1" applyFill="1" applyBorder="1" applyAlignment="1" applyProtection="1">
      <alignment horizontal="center"/>
      <protection locked="0"/>
    </xf>
    <xf numFmtId="0" fontId="16" fillId="0" borderId="2" xfId="0" applyFont="1" applyBorder="1" applyAlignment="1" applyProtection="1">
      <alignment horizontal="center"/>
      <protection locked="0"/>
    </xf>
    <xf numFmtId="0" fontId="13" fillId="2" borderId="0" xfId="45" applyFont="1" applyFill="1" applyBorder="1" applyAlignment="1" applyProtection="1">
      <alignment horizontal="left"/>
    </xf>
    <xf numFmtId="0" fontId="13" fillId="2" borderId="0" xfId="45" applyFont="1" applyFill="1" applyAlignment="1" applyProtection="1">
      <alignment vertical="top" wrapText="1"/>
    </xf>
    <xf numFmtId="164" fontId="14" fillId="2" borderId="0" xfId="45" applyNumberFormat="1" applyFont="1" applyFill="1" applyBorder="1" applyAlignment="1" applyProtection="1">
      <alignment horizontal="left"/>
      <protection locked="0"/>
    </xf>
    <xf numFmtId="0" fontId="13" fillId="2" borderId="3" xfId="45" applyFont="1" applyFill="1" applyBorder="1" applyAlignment="1" applyProtection="1">
      <alignment horizontal="left"/>
    </xf>
    <xf numFmtId="0" fontId="14" fillId="2" borderId="2" xfId="45" applyFont="1" applyFill="1" applyBorder="1" applyAlignment="1" applyProtection="1">
      <alignment horizontal="center"/>
      <protection locked="0"/>
    </xf>
    <xf numFmtId="0" fontId="14" fillId="2" borderId="0" xfId="45" applyFont="1" applyFill="1" applyBorder="1" applyAlignment="1" applyProtection="1">
      <alignment horizontal="left"/>
    </xf>
    <xf numFmtId="165" fontId="13" fillId="2" borderId="0" xfId="44" applyNumberFormat="1" applyFont="1" applyFill="1" applyAlignment="1" applyProtection="1">
      <alignment horizontal="right"/>
    </xf>
    <xf numFmtId="0" fontId="48" fillId="0" borderId="0" xfId="0" applyFont="1" applyAlignment="1">
      <alignment horizontal="right" wrapText="1"/>
    </xf>
    <xf numFmtId="0" fontId="0" fillId="0" borderId="0" xfId="0" applyAlignment="1">
      <alignment horizontal="right"/>
    </xf>
    <xf numFmtId="0" fontId="14" fillId="2" borderId="0" xfId="44" applyFont="1" applyFill="1" applyAlignment="1" applyProtection="1">
      <alignment horizontal="center" vertical="center"/>
    </xf>
    <xf numFmtId="0" fontId="0" fillId="0" borderId="0" xfId="0" applyAlignment="1">
      <alignment horizontal="center" vertical="center"/>
    </xf>
    <xf numFmtId="0" fontId="14" fillId="2" borderId="0" xfId="44" applyFont="1" applyFill="1" applyAlignment="1" applyProtection="1">
      <alignment wrapText="1"/>
    </xf>
    <xf numFmtId="0" fontId="14" fillId="2" borderId="0" xfId="44" applyFont="1" applyFill="1" applyAlignment="1" applyProtection="1">
      <alignment horizontal="left" wrapText="1"/>
    </xf>
    <xf numFmtId="0" fontId="0" fillId="0" borderId="0" xfId="0" applyAlignment="1"/>
    <xf numFmtId="0" fontId="14" fillId="2" borderId="0" xfId="44" applyFont="1" applyFill="1" applyAlignment="1" applyProtection="1">
      <alignment horizontal="center"/>
    </xf>
    <xf numFmtId="0" fontId="16" fillId="2" borderId="0" xfId="0" applyFont="1" applyFill="1" applyAlignment="1">
      <alignment horizontal="right" wrapText="1"/>
    </xf>
    <xf numFmtId="0" fontId="13" fillId="2" borderId="0" xfId="44" applyFont="1" applyFill="1" applyAlignment="1" applyProtection="1">
      <alignment horizontal="left"/>
    </xf>
    <xf numFmtId="0" fontId="13" fillId="2" borderId="2" xfId="45" applyFont="1" applyFill="1" applyBorder="1" applyAlignment="1" applyProtection="1">
      <alignment horizontal="left"/>
    </xf>
    <xf numFmtId="0" fontId="14" fillId="2" borderId="0" xfId="44" applyFont="1" applyFill="1" applyAlignment="1" applyProtection="1">
      <alignment vertical="top" wrapText="1"/>
    </xf>
    <xf numFmtId="0" fontId="17" fillId="2" borderId="0" xfId="0" applyFont="1" applyFill="1" applyAlignment="1">
      <alignment vertical="top" wrapText="1"/>
    </xf>
    <xf numFmtId="165" fontId="13" fillId="2" borderId="0" xfId="5" applyNumberFormat="1" applyFont="1" applyFill="1" applyAlignment="1" applyProtection="1">
      <alignment horizontal="center"/>
      <protection locked="0"/>
    </xf>
    <xf numFmtId="0" fontId="15" fillId="2" borderId="0" xfId="5" applyFont="1" applyFill="1" applyBorder="1" applyAlignment="1" applyProtection="1">
      <alignment horizontal="center"/>
    </xf>
    <xf numFmtId="0" fontId="15" fillId="2" borderId="0" xfId="6" applyFont="1" applyFill="1" applyBorder="1" applyAlignment="1" applyProtection="1">
      <alignment horizontal="left" vertical="top"/>
    </xf>
    <xf numFmtId="165" fontId="13" fillId="2" borderId="0" xfId="7" applyNumberFormat="1" applyFont="1" applyFill="1" applyAlignment="1" applyProtection="1">
      <alignment horizontal="right"/>
    </xf>
    <xf numFmtId="165" fontId="13" fillId="2" borderId="0" xfId="8" applyNumberFormat="1" applyFont="1" applyFill="1" applyAlignment="1" applyProtection="1">
      <alignment horizontal="right"/>
    </xf>
    <xf numFmtId="165" fontId="13" fillId="2" borderId="0" xfId="36" applyNumberFormat="1" applyFont="1" applyFill="1" applyAlignment="1" applyProtection="1">
      <alignment horizontal="right"/>
      <protection locked="0"/>
    </xf>
    <xf numFmtId="1" fontId="15" fillId="2" borderId="0" xfId="42" applyNumberFormat="1" applyFont="1" applyFill="1" applyBorder="1" applyAlignment="1" applyProtection="1">
      <alignment horizontal="center"/>
    </xf>
    <xf numFmtId="0" fontId="14" fillId="2" borderId="0" xfId="33" applyFont="1" applyFill="1" applyBorder="1" applyAlignment="1" applyProtection="1">
      <alignment horizontal="left"/>
    </xf>
    <xf numFmtId="0" fontId="13" fillId="0" borderId="0" xfId="33" applyFont="1" applyAlignment="1" applyProtection="1">
      <alignment horizontal="left"/>
    </xf>
    <xf numFmtId="0" fontId="48" fillId="0" borderId="0" xfId="0" applyFont="1" applyAlignment="1" applyProtection="1">
      <alignment horizontal="right" wrapText="1"/>
      <protection locked="0"/>
    </xf>
    <xf numFmtId="0" fontId="14" fillId="2" borderId="0" xfId="34" applyFont="1" applyFill="1" applyBorder="1" applyAlignment="1" applyProtection="1">
      <alignment horizontal="left"/>
    </xf>
    <xf numFmtId="0" fontId="13" fillId="0" borderId="0" xfId="34" applyFont="1" applyAlignment="1" applyProtection="1">
      <alignment horizontal="left"/>
    </xf>
    <xf numFmtId="0" fontId="14" fillId="2" borderId="0" xfId="13" applyFont="1" applyFill="1" applyBorder="1" applyAlignment="1" applyProtection="1">
      <alignment horizontal="left"/>
    </xf>
    <xf numFmtId="0" fontId="14" fillId="2" borderId="0" xfId="14" applyFont="1" applyFill="1" applyBorder="1" applyAlignment="1" applyProtection="1">
      <alignment horizontal="left"/>
    </xf>
    <xf numFmtId="0" fontId="16" fillId="0" borderId="13" xfId="22" applyFont="1" applyBorder="1" applyAlignment="1" applyProtection="1"/>
    <xf numFmtId="0" fontId="16" fillId="0" borderId="15" xfId="22" applyFont="1" applyBorder="1" applyAlignment="1" applyProtection="1"/>
    <xf numFmtId="0" fontId="14" fillId="2" borderId="1" xfId="22" applyFont="1" applyFill="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4" fillId="2" borderId="0" xfId="22" applyFont="1" applyFill="1" applyBorder="1" applyAlignment="1" applyProtection="1">
      <alignment horizontal="left"/>
    </xf>
    <xf numFmtId="0" fontId="14" fillId="2" borderId="0" xfId="15" applyFont="1" applyFill="1" applyBorder="1" applyAlignment="1" applyProtection="1">
      <alignment horizontal="left" wrapText="1"/>
    </xf>
    <xf numFmtId="0" fontId="13" fillId="0" borderId="1" xfId="15" applyFont="1" applyFill="1" applyBorder="1" applyAlignment="1" applyProtection="1">
      <alignment horizontal="left" vertical="top"/>
    </xf>
    <xf numFmtId="0" fontId="16" fillId="0" borderId="1" xfId="0" applyFont="1" applyBorder="1" applyAlignment="1" applyProtection="1"/>
    <xf numFmtId="0" fontId="14" fillId="2" borderId="1" xfId="29" applyFont="1" applyFill="1" applyBorder="1" applyAlignment="1" applyProtection="1">
      <alignment horizontal="center" vertical="center" shrinkToFit="1"/>
      <protection hidden="1"/>
    </xf>
    <xf numFmtId="0" fontId="14" fillId="2" borderId="1" xfId="29" applyFont="1" applyFill="1" applyBorder="1" applyAlignment="1" applyProtection="1">
      <alignment horizontal="center" vertical="center" wrapText="1"/>
      <protection hidden="1"/>
    </xf>
    <xf numFmtId="0" fontId="16" fillId="0" borderId="1" xfId="0" applyFont="1" applyBorder="1" applyAlignment="1" applyProtection="1">
      <alignment horizontal="center"/>
      <protection hidden="1"/>
    </xf>
    <xf numFmtId="0" fontId="14" fillId="2" borderId="1" xfId="29" applyFont="1" applyFill="1" applyBorder="1" applyAlignment="1" applyProtection="1">
      <alignment horizontal="center"/>
      <protection hidden="1"/>
    </xf>
    <xf numFmtId="0" fontId="14" fillId="2" borderId="1" xfId="26" applyFont="1" applyFill="1" applyBorder="1" applyAlignment="1" applyProtection="1">
      <alignment horizontal="center" vertical="center" wrapText="1"/>
    </xf>
    <xf numFmtId="0" fontId="14" fillId="2" borderId="1" xfId="26" applyFont="1" applyFill="1" applyBorder="1" applyAlignment="1" applyProtection="1">
      <alignment horizontal="center" vertical="center"/>
    </xf>
    <xf numFmtId="165" fontId="13" fillId="2" borderId="0" xfId="26" applyNumberFormat="1" applyFont="1" applyFill="1" applyAlignment="1" applyProtection="1">
      <alignment horizontal="right"/>
    </xf>
    <xf numFmtId="0" fontId="14" fillId="2" borderId="0" xfId="26" applyFont="1" applyFill="1" applyBorder="1" applyAlignment="1" applyProtection="1">
      <alignment horizontal="left"/>
    </xf>
    <xf numFmtId="0" fontId="14" fillId="2" borderId="0" xfId="25" applyFont="1" applyFill="1" applyBorder="1" applyAlignment="1" applyProtection="1">
      <alignment horizontal="left" vertical="top"/>
    </xf>
    <xf numFmtId="0" fontId="14" fillId="2" borderId="1" xfId="25" applyFont="1" applyFill="1" applyBorder="1" applyAlignment="1" applyProtection="1">
      <alignment horizontal="center" vertical="center" wrapText="1"/>
    </xf>
    <xf numFmtId="0" fontId="14" fillId="2" borderId="1" xfId="25" applyFont="1" applyFill="1" applyBorder="1" applyAlignment="1" applyProtection="1">
      <alignment horizontal="center" vertical="center"/>
    </xf>
    <xf numFmtId="165" fontId="13" fillId="2" borderId="0" xfId="27" applyNumberFormat="1" applyFont="1" applyFill="1" applyAlignment="1" applyProtection="1">
      <alignment horizontal="right"/>
      <protection locked="0"/>
    </xf>
    <xf numFmtId="0" fontId="14" fillId="2" borderId="1" xfId="27" applyFont="1" applyFill="1" applyBorder="1" applyAlignment="1" applyProtection="1">
      <alignment horizontal="center" vertical="center"/>
    </xf>
    <xf numFmtId="0" fontId="13" fillId="2" borderId="1" xfId="27" applyFont="1" applyFill="1" applyBorder="1" applyAlignment="1" applyProtection="1">
      <alignment horizontal="center" vertical="center"/>
    </xf>
    <xf numFmtId="0" fontId="14" fillId="2" borderId="0" xfId="28" applyFont="1" applyFill="1" applyBorder="1" applyAlignment="1" applyProtection="1">
      <alignment horizontal="left" vertical="center" wrapText="1"/>
      <protection locked="0"/>
    </xf>
    <xf numFmtId="0" fontId="13" fillId="0" borderId="13" xfId="28" applyFont="1" applyFill="1" applyBorder="1" applyAlignment="1" applyProtection="1"/>
    <xf numFmtId="0" fontId="13" fillId="0" borderId="15" xfId="28" applyFont="1" applyFill="1" applyBorder="1" applyAlignment="1" applyProtection="1"/>
    <xf numFmtId="0" fontId="14" fillId="2" borderId="1" xfId="28" applyFont="1" applyFill="1" applyBorder="1" applyAlignment="1" applyProtection="1">
      <alignment horizontal="center" vertical="center"/>
    </xf>
    <xf numFmtId="0" fontId="13" fillId="2" borderId="1" xfId="28" applyFont="1" applyFill="1" applyBorder="1" applyAlignment="1" applyProtection="1">
      <alignment horizontal="center" vertical="center"/>
    </xf>
    <xf numFmtId="0" fontId="13" fillId="0" borderId="1" xfId="40" applyFont="1" applyFill="1" applyBorder="1" applyAlignment="1" applyProtection="1"/>
    <xf numFmtId="165" fontId="13" fillId="2" borderId="0" xfId="40" applyNumberFormat="1" applyFont="1" applyFill="1" applyAlignment="1" applyProtection="1">
      <alignment horizontal="right"/>
      <protection locked="0"/>
    </xf>
    <xf numFmtId="0" fontId="14" fillId="2" borderId="1" xfId="40" applyFont="1" applyFill="1" applyBorder="1" applyAlignment="1" applyProtection="1">
      <alignment horizontal="center" vertical="center"/>
    </xf>
    <xf numFmtId="0" fontId="13" fillId="2" borderId="1" xfId="40" applyFont="1" applyFill="1" applyBorder="1" applyAlignment="1" applyProtection="1">
      <alignment horizontal="center" vertical="center"/>
    </xf>
    <xf numFmtId="0" fontId="13" fillId="0" borderId="1" xfId="41" applyFont="1" applyFill="1" applyBorder="1" applyAlignment="1" applyProtection="1"/>
    <xf numFmtId="0" fontId="14" fillId="2" borderId="0" xfId="41" applyFont="1" applyFill="1" applyBorder="1" applyAlignment="1" applyProtection="1">
      <alignment horizontal="left" vertical="center" wrapText="1"/>
      <protection locked="0"/>
    </xf>
    <xf numFmtId="0" fontId="14" fillId="2" borderId="1" xfId="41" applyFont="1" applyFill="1" applyBorder="1" applyAlignment="1" applyProtection="1">
      <alignment horizontal="center" vertical="center"/>
    </xf>
    <xf numFmtId="0" fontId="13" fillId="2" borderId="1" xfId="41" applyFont="1" applyFill="1" applyBorder="1" applyAlignment="1" applyProtection="1">
      <alignment horizontal="center" vertical="center"/>
    </xf>
    <xf numFmtId="0" fontId="14" fillId="2" borderId="1" xfId="23" applyFont="1" applyFill="1" applyBorder="1" applyAlignment="1" applyProtection="1">
      <alignment horizontal="center"/>
    </xf>
    <xf numFmtId="0" fontId="14" fillId="2" borderId="1" xfId="23" applyFont="1" applyFill="1" applyBorder="1" applyAlignment="1" applyProtection="1">
      <alignment horizontal="center" vertical="center"/>
    </xf>
    <xf numFmtId="0" fontId="16" fillId="0" borderId="1" xfId="0" applyFont="1" applyBorder="1" applyAlignment="1" applyProtection="1">
      <alignment horizontal="center" vertical="center"/>
    </xf>
    <xf numFmtId="0" fontId="14" fillId="0" borderId="1" xfId="23" applyFont="1" applyFill="1" applyBorder="1" applyAlignment="1" applyProtection="1"/>
    <xf numFmtId="0" fontId="16" fillId="0" borderId="1" xfId="0" applyFont="1" applyBorder="1" applyAlignment="1" applyProtection="1">
      <alignment horizontal="center"/>
    </xf>
    <xf numFmtId="0" fontId="14" fillId="0" borderId="1" xfId="24" applyFont="1" applyFill="1" applyBorder="1" applyAlignment="1" applyProtection="1"/>
    <xf numFmtId="0" fontId="14" fillId="2" borderId="1" xfId="24" applyFont="1" applyFill="1" applyBorder="1" applyAlignment="1" applyProtection="1">
      <alignment horizontal="left" vertical="center"/>
    </xf>
    <xf numFmtId="0" fontId="14" fillId="2" borderId="1" xfId="24" applyFont="1" applyFill="1" applyBorder="1" applyAlignment="1" applyProtection="1">
      <alignment horizontal="center" vertical="center"/>
    </xf>
    <xf numFmtId="0" fontId="13" fillId="0" borderId="1" xfId="0" applyFont="1" applyBorder="1" applyAlignment="1" applyProtection="1">
      <alignment horizontal="center" vertical="center"/>
    </xf>
    <xf numFmtId="0" fontId="14" fillId="4" borderId="1" xfId="23" applyFont="1" applyFill="1" applyBorder="1" applyAlignment="1" applyProtection="1">
      <alignment horizontal="center"/>
    </xf>
    <xf numFmtId="0" fontId="14" fillId="4" borderId="1" xfId="24" applyFont="1" applyFill="1" applyBorder="1" applyAlignment="1" applyProtection="1"/>
    <xf numFmtId="0" fontId="16" fillId="4" borderId="1" xfId="0" applyFont="1" applyFill="1" applyBorder="1" applyAlignment="1" applyProtection="1"/>
    <xf numFmtId="0" fontId="14" fillId="4" borderId="1" xfId="24" applyFont="1" applyFill="1" applyBorder="1" applyAlignment="1" applyProtection="1">
      <alignment horizontal="left" vertical="center"/>
    </xf>
    <xf numFmtId="0" fontId="14" fillId="4" borderId="1" xfId="24" applyFont="1" applyFill="1" applyBorder="1" applyAlignment="1" applyProtection="1">
      <alignment horizontal="center" vertical="center"/>
    </xf>
    <xf numFmtId="0" fontId="13" fillId="4" borderId="1" xfId="0" applyFont="1" applyFill="1" applyBorder="1" applyAlignment="1" applyProtection="1">
      <alignment horizontal="center" vertical="center"/>
    </xf>
    <xf numFmtId="0" fontId="14" fillId="4" borderId="1" xfId="23" applyFont="1" applyFill="1" applyBorder="1" applyAlignment="1" applyProtection="1">
      <alignment horizontal="center" vertical="center"/>
    </xf>
    <xf numFmtId="0" fontId="16" fillId="4" borderId="1" xfId="0" applyFont="1" applyFill="1" applyBorder="1" applyAlignment="1" applyProtection="1">
      <alignment horizontal="center" vertical="center"/>
    </xf>
    <xf numFmtId="0" fontId="16" fillId="4" borderId="1" xfId="0" applyFont="1" applyFill="1" applyBorder="1" applyAlignment="1" applyProtection="1">
      <alignment horizontal="center"/>
    </xf>
    <xf numFmtId="165" fontId="13" fillId="2" borderId="0" xfId="16" applyNumberFormat="1" applyFont="1" applyFill="1" applyAlignment="1" applyProtection="1">
      <alignment horizontal="right"/>
      <protection locked="0"/>
    </xf>
    <xf numFmtId="165" fontId="13" fillId="2" borderId="0" xfId="17" applyNumberFormat="1" applyFont="1" applyFill="1" applyAlignment="1" applyProtection="1">
      <alignment horizontal="right"/>
      <protection locked="0"/>
    </xf>
    <xf numFmtId="0" fontId="13" fillId="0" borderId="0" xfId="32" applyNumberFormat="1" applyFont="1" applyFill="1" applyBorder="1" applyAlignment="1" applyProtection="1">
      <alignment horizontal="center" vertical="top"/>
    </xf>
    <xf numFmtId="0" fontId="13" fillId="0" borderId="0" xfId="36" applyFont="1" applyFill="1" applyBorder="1" applyAlignment="1" applyProtection="1">
      <alignment horizontal="center" vertical="top"/>
    </xf>
    <xf numFmtId="0" fontId="16" fillId="0" borderId="0" xfId="0" applyFont="1" applyFill="1" applyBorder="1" applyAlignment="1" applyProtection="1">
      <alignment horizontal="center"/>
    </xf>
    <xf numFmtId="0" fontId="48" fillId="0" borderId="0" xfId="0" applyFont="1" applyFill="1" applyAlignment="1" applyProtection="1">
      <alignment horizontal="right" wrapText="1"/>
    </xf>
    <xf numFmtId="0" fontId="13" fillId="0" borderId="1" xfId="32"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48" fillId="0" borderId="0" xfId="0" applyFont="1" applyAlignment="1" applyProtection="1">
      <alignment horizontal="right" vertical="top" wrapText="1"/>
      <protection locked="0"/>
    </xf>
    <xf numFmtId="0" fontId="0" fillId="0" borderId="0" xfId="0" applyAlignment="1">
      <alignment vertical="top"/>
    </xf>
    <xf numFmtId="0" fontId="27" fillId="2" borderId="1" xfId="31" applyFont="1" applyFill="1" applyBorder="1" applyAlignment="1" applyProtection="1">
      <protection hidden="1"/>
    </xf>
    <xf numFmtId="0" fontId="16" fillId="0" borderId="1" xfId="0" applyFont="1" applyBorder="1" applyAlignment="1" applyProtection="1">
      <protection hidden="1"/>
    </xf>
    <xf numFmtId="0" fontId="28" fillId="2" borderId="1" xfId="31" applyFont="1" applyFill="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3" fontId="28" fillId="2" borderId="1" xfId="31" applyNumberFormat="1" applyFont="1" applyFill="1" applyBorder="1" applyAlignment="1" applyProtection="1">
      <alignment horizontal="center"/>
      <protection hidden="1"/>
    </xf>
    <xf numFmtId="0" fontId="13" fillId="0" borderId="1" xfId="0" applyFont="1" applyBorder="1" applyAlignment="1" applyProtection="1">
      <alignment horizontal="center"/>
      <protection hidden="1"/>
    </xf>
    <xf numFmtId="0" fontId="28" fillId="2" borderId="1" xfId="31" applyFont="1" applyFill="1" applyBorder="1" applyAlignment="1" applyProtection="1">
      <alignment horizontal="center"/>
      <protection hidden="1"/>
    </xf>
    <xf numFmtId="0" fontId="14" fillId="0" borderId="1" xfId="0" applyFont="1" applyBorder="1" applyAlignment="1" applyProtection="1">
      <alignment horizontal="center"/>
      <protection hidden="1"/>
    </xf>
    <xf numFmtId="0" fontId="17" fillId="0" borderId="1" xfId="0" applyFont="1" applyBorder="1" applyAlignment="1" applyProtection="1">
      <alignment horizontal="center" vertical="center"/>
      <protection hidden="1"/>
    </xf>
    <xf numFmtId="0" fontId="14" fillId="2" borderId="9" xfId="29" applyFont="1" applyFill="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14" fillId="2" borderId="1" xfId="29" applyFont="1" applyFill="1" applyBorder="1" applyAlignment="1" applyProtection="1">
      <alignment horizontal="center" vertical="center"/>
      <protection hidden="1"/>
    </xf>
    <xf numFmtId="0" fontId="45" fillId="6" borderId="0" xfId="0" applyFont="1" applyFill="1" applyBorder="1" applyAlignment="1">
      <alignment horizontal="left"/>
    </xf>
    <xf numFmtId="0" fontId="14" fillId="6" borderId="0" xfId="33" applyFont="1" applyFill="1" applyBorder="1" applyAlignment="1" applyProtection="1">
      <alignment horizontal="left"/>
    </xf>
    <xf numFmtId="0" fontId="40" fillId="6" borderId="0" xfId="33" applyFont="1" applyFill="1" applyAlignment="1" applyProtection="1">
      <alignment horizontal="right" wrapText="1"/>
      <protection locked="0"/>
    </xf>
    <xf numFmtId="0" fontId="38" fillId="2" borderId="0" xfId="33" applyFont="1" applyFill="1" applyBorder="1" applyAlignment="1" applyProtection="1">
      <alignment wrapText="1"/>
    </xf>
    <xf numFmtId="0" fontId="30" fillId="6" borderId="0" xfId="0" applyFont="1" applyFill="1" applyAlignment="1">
      <alignment horizontal="right" wrapText="1"/>
    </xf>
    <xf numFmtId="0" fontId="17" fillId="6" borderId="0" xfId="0" applyFont="1" applyFill="1" applyBorder="1" applyAlignment="1">
      <alignment wrapText="1"/>
    </xf>
    <xf numFmtId="0" fontId="16" fillId="0" borderId="0" xfId="0" applyFont="1" applyBorder="1" applyAlignment="1"/>
    <xf numFmtId="0" fontId="17" fillId="6" borderId="1" xfId="0" applyFont="1" applyFill="1" applyBorder="1" applyAlignment="1">
      <alignment horizontal="center" vertical="center"/>
    </xf>
    <xf numFmtId="0" fontId="17" fillId="6" borderId="13" xfId="0" applyFont="1" applyFill="1" applyBorder="1" applyAlignment="1">
      <alignment horizontal="center" vertical="center"/>
    </xf>
    <xf numFmtId="0" fontId="17" fillId="6" borderId="15" xfId="0" applyFont="1" applyFill="1" applyBorder="1" applyAlignment="1">
      <alignment horizontal="center" vertical="center"/>
    </xf>
    <xf numFmtId="0" fontId="17" fillId="6" borderId="7" xfId="0" applyFont="1" applyFill="1" applyBorder="1" applyAlignment="1">
      <alignment horizontal="center"/>
    </xf>
    <xf numFmtId="0" fontId="17" fillId="6" borderId="4" xfId="0" applyFont="1" applyFill="1" applyBorder="1" applyAlignment="1">
      <alignment horizontal="center"/>
    </xf>
    <xf numFmtId="0" fontId="17" fillId="6" borderId="8" xfId="0" applyFont="1" applyFill="1" applyBorder="1" applyAlignment="1">
      <alignment horizontal="center"/>
    </xf>
    <xf numFmtId="0" fontId="17" fillId="6" borderId="0" xfId="0" applyFont="1" applyFill="1" applyBorder="1" applyAlignment="1" applyProtection="1">
      <alignment wrapText="1"/>
    </xf>
    <xf numFmtId="0" fontId="16" fillId="0" borderId="0" xfId="0" applyFont="1" applyBorder="1" applyAlignment="1" applyProtection="1"/>
    <xf numFmtId="0" fontId="17" fillId="6" borderId="13" xfId="0" applyFont="1" applyFill="1" applyBorder="1" applyAlignment="1" applyProtection="1">
      <alignment horizontal="center" vertical="center"/>
    </xf>
    <xf numFmtId="0" fontId="17" fillId="6" borderId="15" xfId="0" applyFont="1" applyFill="1" applyBorder="1" applyAlignment="1" applyProtection="1">
      <alignment horizontal="center" vertical="center"/>
    </xf>
    <xf numFmtId="0" fontId="17" fillId="6" borderId="1" xfId="0" applyFont="1" applyFill="1" applyBorder="1" applyAlignment="1" applyProtection="1">
      <alignment horizontal="center" vertical="center"/>
    </xf>
    <xf numFmtId="0" fontId="17" fillId="6" borderId="7"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8" xfId="0" applyFont="1" applyFill="1" applyBorder="1" applyAlignment="1" applyProtection="1">
      <alignment horizontal="center"/>
    </xf>
    <xf numFmtId="0" fontId="30" fillId="6" borderId="0" xfId="0" applyFont="1" applyFill="1" applyAlignment="1" applyProtection="1">
      <alignment horizontal="right" wrapText="1"/>
    </xf>
    <xf numFmtId="0" fontId="39" fillId="6" borderId="0" xfId="33" applyFont="1" applyFill="1" applyAlignment="1" applyProtection="1">
      <alignment horizontal="right" wrapText="1"/>
    </xf>
    <xf numFmtId="0" fontId="18" fillId="0" borderId="0" xfId="47" applyFont="1" applyBorder="1" applyAlignment="1" applyProtection="1">
      <alignment horizontal="center" vertical="center" wrapText="1"/>
    </xf>
  </cellXfs>
  <cellStyles count="49">
    <cellStyle name="Normal_Captal AdequacyAttachment" xfId="1"/>
    <cellStyle name="Normal_DATA_BANKS_June 2008" xfId="2"/>
    <cellStyle name="Гиперссылка" xfId="3" builtinId="8"/>
    <cellStyle name="Обычный" xfId="0" builtinId="0"/>
    <cellStyle name="Обычный 2" xfId="47"/>
    <cellStyle name="Обычный_AL09.01" xfId="4"/>
    <cellStyle name="Обычный_B01.01" xfId="5"/>
    <cellStyle name="Обычный_B01.02" xfId="6"/>
    <cellStyle name="Обычный_B01.03" xfId="7"/>
    <cellStyle name="Обычный_B01.04" xfId="8"/>
    <cellStyle name="Обычный_BA01.01" xfId="9"/>
    <cellStyle name="Обычный_BB01.05" xfId="10"/>
    <cellStyle name="Обычный_BL01.02" xfId="11"/>
    <cellStyle name="Обычный_BO01.04" xfId="12"/>
    <cellStyle name="Обычный_CA06.01" xfId="13"/>
    <cellStyle name="Обычный_CA06.02" xfId="14"/>
    <cellStyle name="Обычный_CA07.02" xfId="15"/>
    <cellStyle name="Обычный_CA15.01" xfId="16"/>
    <cellStyle name="Обычный_CA15.02" xfId="17"/>
    <cellStyle name="Обычный_CA15.03" xfId="18"/>
    <cellStyle name="Обычный_CA15.04" xfId="19"/>
    <cellStyle name="Обычный_CA15.05" xfId="20"/>
    <cellStyle name="Обычный_CC03.01" xfId="21"/>
    <cellStyle name="Обычный_CR07.01" xfId="22"/>
    <cellStyle name="Обычный_DA13.01" xfId="23"/>
    <cellStyle name="Обычный_DA13.03" xfId="24"/>
    <cellStyle name="Обычный_DD11.02" xfId="25"/>
    <cellStyle name="Обычный_DS11.01" xfId="26"/>
    <cellStyle name="Обычный_GA12.01" xfId="27"/>
    <cellStyle name="Обычный_GA12.01 2" xfId="48"/>
    <cellStyle name="Обычный_GA12.02" xfId="28"/>
    <cellStyle name="Обычный_LB08.01" xfId="29"/>
    <cellStyle name="Обычный_LI10.01" xfId="30"/>
    <cellStyle name="Обычный_MA16.01" xfId="31"/>
    <cellStyle name="Обычный_MI17.01" xfId="32"/>
    <cellStyle name="Обычный_OA05.01" xfId="33"/>
    <cellStyle name="Обычный_OA05.02" xfId="34"/>
    <cellStyle name="Обычный_PL02.01" xfId="35"/>
    <cellStyle name="Обычный_PL02.01.1" xfId="36"/>
    <cellStyle name="Обычный_PL02.01.2" xfId="37"/>
    <cellStyle name="Обычный_PN14" xfId="38"/>
    <cellStyle name="Обычный_R01.05" xfId="39"/>
    <cellStyle name="Обычный_RM12.03" xfId="40"/>
    <cellStyle name="Обычный_RM12.04" xfId="41"/>
    <cellStyle name="Обычный_SI04.01" xfId="42"/>
    <cellStyle name="Обычный_Книга1" xfId="43"/>
    <cellStyle name="Обычный_Общая часть" xfId="44"/>
    <cellStyle name="Обычный_Общая часть 2" xfId="45"/>
    <cellStyle name="Процентный" xfId="46" builtinId="5"/>
  </cellStyles>
  <dxfs count="76">
    <dxf>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5707_19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
      <sheetName val="OB"/>
      <sheetName val="C"/>
      <sheetName val="BINFO"/>
      <sheetName val="BA01.01"/>
      <sheetName val="BL01.02"/>
      <sheetName val="BC01.03"/>
      <sheetName val="BO01.04"/>
      <sheetName val="BB01.05"/>
      <sheetName val="PL02.01"/>
      <sheetName val="CC03.01"/>
      <sheetName val="SI04.01"/>
      <sheetName val="OA05.01"/>
      <sheetName val="OA05.02"/>
      <sheetName val="CA06.01"/>
      <sheetName val="CA06.02"/>
      <sheetName val="CR07.01"/>
      <sheetName val="CA07.02"/>
      <sheetName val="LB08.01"/>
      <sheetName val="AL09.01"/>
      <sheetName val="DS11.01"/>
      <sheetName val="DD11.02"/>
      <sheetName val="GA12.01"/>
      <sheetName val="GA12.02"/>
      <sheetName val="RM12.03"/>
      <sheetName val="RM12.04"/>
      <sheetName val="DA13.01"/>
      <sheetName val="DA13.03"/>
      <sheetName val="DA13.05"/>
      <sheetName val="PN14.01"/>
      <sheetName val="CA15.01"/>
      <sheetName val="CA15.02"/>
      <sheetName val="CA15.03"/>
      <sheetName val="CA15.04"/>
      <sheetName val="CA15.05"/>
      <sheetName val="MA16.01"/>
      <sheetName val="MI17.01"/>
      <sheetName val="DI18.01"/>
      <sheetName val="FX19.01"/>
      <sheetName val="CL20.01"/>
      <sheetName val="CL20.02"/>
      <sheetName val="BB21.01"/>
      <sheetName val="List of Scedules"/>
    </sheetNames>
    <sheetDataSet>
      <sheetData sheetId="0" refreshError="1"/>
      <sheetData sheetId="1" refreshError="1"/>
      <sheetData sheetId="2" refreshError="1"/>
      <sheetData sheetId="3" refreshError="1"/>
      <sheetData sheetId="4">
        <row r="23">
          <cell r="C23" t="str">
            <v>қарзҳо</v>
          </cell>
        </row>
      </sheetData>
      <sheetData sheetId="5" refreshError="1"/>
      <sheetData sheetId="6" refreshError="1"/>
      <sheetData sheetId="7" refreshError="1"/>
      <sheetData sheetId="8"/>
      <sheetData sheetId="9" refreshError="1"/>
      <sheetData sheetId="10" refreshError="1"/>
      <sheetData sheetId="11"/>
      <sheetData sheetId="12"/>
      <sheetData sheetId="13">
        <row r="17">
          <cell r="H17">
            <v>0</v>
          </cell>
          <cell r="I17">
            <v>0</v>
          </cell>
          <cell r="J17">
            <v>0</v>
          </cell>
          <cell r="K17">
            <v>0</v>
          </cell>
          <cell r="L17">
            <v>0</v>
          </cell>
          <cell r="M17">
            <v>0</v>
          </cell>
        </row>
        <row r="18">
          <cell r="H18">
            <v>0</v>
          </cell>
          <cell r="I18">
            <v>0</v>
          </cell>
          <cell r="J18">
            <v>0</v>
          </cell>
          <cell r="K18">
            <v>0</v>
          </cell>
          <cell r="L18">
            <v>0</v>
          </cell>
          <cell r="M18">
            <v>0</v>
          </cell>
        </row>
        <row r="19">
          <cell r="H19">
            <v>0</v>
          </cell>
          <cell r="I19">
            <v>0</v>
          </cell>
          <cell r="J19">
            <v>0</v>
          </cell>
          <cell r="K19">
            <v>0</v>
          </cell>
          <cell r="L19">
            <v>0</v>
          </cell>
          <cell r="M19">
            <v>0</v>
          </cell>
        </row>
        <row r="20">
          <cell r="H20">
            <v>0</v>
          </cell>
          <cell r="I20">
            <v>0</v>
          </cell>
          <cell r="J20">
            <v>0</v>
          </cell>
          <cell r="K20">
            <v>0</v>
          </cell>
          <cell r="L20">
            <v>0</v>
          </cell>
          <cell r="M20">
            <v>0</v>
          </cell>
        </row>
        <row r="21">
          <cell r="H21">
            <v>0</v>
          </cell>
          <cell r="I21">
            <v>0</v>
          </cell>
          <cell r="J21">
            <v>0</v>
          </cell>
          <cell r="K21">
            <v>0</v>
          </cell>
          <cell r="L21">
            <v>0</v>
          </cell>
          <cell r="M21">
            <v>0</v>
          </cell>
        </row>
        <row r="22">
          <cell r="H22">
            <v>0</v>
          </cell>
          <cell r="I22">
            <v>0</v>
          </cell>
          <cell r="J22">
            <v>0</v>
          </cell>
          <cell r="K22">
            <v>0</v>
          </cell>
          <cell r="L22">
            <v>0</v>
          </cell>
          <cell r="M22">
            <v>0</v>
          </cell>
        </row>
        <row r="23">
          <cell r="H23">
            <v>0</v>
          </cell>
          <cell r="I23">
            <v>0</v>
          </cell>
          <cell r="J23">
            <v>0</v>
          </cell>
          <cell r="K23">
            <v>0</v>
          </cell>
          <cell r="L23">
            <v>0</v>
          </cell>
          <cell r="M23">
            <v>0</v>
          </cell>
        </row>
        <row r="24">
          <cell r="H24">
            <v>0</v>
          </cell>
          <cell r="I24">
            <v>0</v>
          </cell>
          <cell r="J24">
            <v>0</v>
          </cell>
          <cell r="K24">
            <v>0</v>
          </cell>
          <cell r="L24">
            <v>0</v>
          </cell>
          <cell r="M24">
            <v>0</v>
          </cell>
        </row>
        <row r="25">
          <cell r="H25">
            <v>0</v>
          </cell>
          <cell r="I25">
            <v>0</v>
          </cell>
          <cell r="J25">
            <v>0</v>
          </cell>
          <cell r="K25">
            <v>0</v>
          </cell>
          <cell r="L25">
            <v>0</v>
          </cell>
          <cell r="M25">
            <v>0</v>
          </cell>
        </row>
        <row r="26">
          <cell r="H26">
            <v>0</v>
          </cell>
          <cell r="I26">
            <v>0</v>
          </cell>
          <cell r="J26">
            <v>0</v>
          </cell>
          <cell r="K26">
            <v>0</v>
          </cell>
          <cell r="L26">
            <v>0</v>
          </cell>
          <cell r="M26">
            <v>0</v>
          </cell>
        </row>
        <row r="27">
          <cell r="H27">
            <v>0</v>
          </cell>
          <cell r="I27">
            <v>0</v>
          </cell>
          <cell r="J27">
            <v>0</v>
          </cell>
          <cell r="K27">
            <v>0</v>
          </cell>
          <cell r="L27">
            <v>0</v>
          </cell>
          <cell r="M27">
            <v>0</v>
          </cell>
        </row>
        <row r="28">
          <cell r="H28">
            <v>0</v>
          </cell>
          <cell r="I28">
            <v>0</v>
          </cell>
          <cell r="J28">
            <v>0</v>
          </cell>
          <cell r="K28">
            <v>0</v>
          </cell>
          <cell r="L28">
            <v>0</v>
          </cell>
        </row>
      </sheetData>
      <sheetData sheetId="14" refreshError="1"/>
      <sheetData sheetId="15" refreshError="1"/>
      <sheetData sheetId="16" refreshError="1"/>
      <sheetData sheetId="17" refreshError="1"/>
      <sheetData sheetId="18" refreshError="1"/>
      <sheetData sheetId="19" refreshError="1"/>
      <sheetData sheetId="20">
        <row r="18">
          <cell r="L18">
            <v>45613670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3">
          <cell r="C13" t="str">
            <v>Қарзҳо ба ташкилотҳои қарзии ғайрибонкӣ</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printerSettings" Target="../printerSettings/printerSettings67.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 Id="rId6" Type="http://schemas.openxmlformats.org/officeDocument/2006/relationships/printerSettings" Target="../printerSettings/printerSettings73.bin"/><Relationship Id="rId5" Type="http://schemas.openxmlformats.org/officeDocument/2006/relationships/printerSettings" Target="../printerSettings/printerSettings72.bin"/><Relationship Id="rId4" Type="http://schemas.openxmlformats.org/officeDocument/2006/relationships/printerSettings" Target="../printerSettings/printerSettings7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6" Type="http://schemas.openxmlformats.org/officeDocument/2006/relationships/printerSettings" Target="../printerSettings/printerSettings79.bin"/><Relationship Id="rId5" Type="http://schemas.openxmlformats.org/officeDocument/2006/relationships/printerSettings" Target="../printerSettings/printerSettings78.bin"/><Relationship Id="rId4" Type="http://schemas.openxmlformats.org/officeDocument/2006/relationships/printerSettings" Target="../printerSettings/printerSettings77.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6" Type="http://schemas.openxmlformats.org/officeDocument/2006/relationships/printerSettings" Target="../printerSettings/printerSettings85.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6" Type="http://schemas.openxmlformats.org/officeDocument/2006/relationships/printerSettings" Target="../printerSettings/printerSettings91.bin"/><Relationship Id="rId5" Type="http://schemas.openxmlformats.org/officeDocument/2006/relationships/printerSettings" Target="../printerSettings/printerSettings90.bin"/><Relationship Id="rId4" Type="http://schemas.openxmlformats.org/officeDocument/2006/relationships/printerSettings" Target="../printerSettings/printerSettings8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94.bin"/><Relationship Id="rId2" Type="http://schemas.openxmlformats.org/officeDocument/2006/relationships/printerSettings" Target="../printerSettings/printerSettings93.bin"/><Relationship Id="rId1" Type="http://schemas.openxmlformats.org/officeDocument/2006/relationships/printerSettings" Target="../printerSettings/printerSettings92.bin"/><Relationship Id="rId6" Type="http://schemas.openxmlformats.org/officeDocument/2006/relationships/printerSettings" Target="../printerSettings/printerSettings97.bin"/><Relationship Id="rId5" Type="http://schemas.openxmlformats.org/officeDocument/2006/relationships/printerSettings" Target="../printerSettings/printerSettings96.bin"/><Relationship Id="rId4" Type="http://schemas.openxmlformats.org/officeDocument/2006/relationships/printerSettings" Target="../printerSettings/printerSettings9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6" Type="http://schemas.openxmlformats.org/officeDocument/2006/relationships/printerSettings" Target="../printerSettings/printerSettings103.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06.bin"/><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 Id="rId6" Type="http://schemas.openxmlformats.org/officeDocument/2006/relationships/printerSettings" Target="../printerSettings/printerSettings109.bin"/><Relationship Id="rId5" Type="http://schemas.openxmlformats.org/officeDocument/2006/relationships/printerSettings" Target="../printerSettings/printerSettings108.bin"/><Relationship Id="rId4" Type="http://schemas.openxmlformats.org/officeDocument/2006/relationships/printerSettings" Target="../printerSettings/printerSettings10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12.bin"/><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 Id="rId6" Type="http://schemas.openxmlformats.org/officeDocument/2006/relationships/printerSettings" Target="../printerSettings/printerSettings115.bin"/><Relationship Id="rId5" Type="http://schemas.openxmlformats.org/officeDocument/2006/relationships/printerSettings" Target="../printerSettings/printerSettings114.bin"/><Relationship Id="rId4" Type="http://schemas.openxmlformats.org/officeDocument/2006/relationships/printerSettings" Target="../printerSettings/printerSettings113.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6" Type="http://schemas.openxmlformats.org/officeDocument/2006/relationships/printerSettings" Target="../printerSettings/printerSettings121.bin"/><Relationship Id="rId5" Type="http://schemas.openxmlformats.org/officeDocument/2006/relationships/printerSettings" Target="../printerSettings/printerSettings120.bin"/><Relationship Id="rId4" Type="http://schemas.openxmlformats.org/officeDocument/2006/relationships/printerSettings" Target="../printerSettings/printerSettings119.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6" Type="http://schemas.openxmlformats.org/officeDocument/2006/relationships/printerSettings" Target="../printerSettings/printerSettings127.bin"/><Relationship Id="rId5" Type="http://schemas.openxmlformats.org/officeDocument/2006/relationships/printerSettings" Target="../printerSettings/printerSettings126.bin"/><Relationship Id="rId4" Type="http://schemas.openxmlformats.org/officeDocument/2006/relationships/printerSettings" Target="../printerSettings/printerSettings12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30.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6" Type="http://schemas.openxmlformats.org/officeDocument/2006/relationships/printerSettings" Target="../printerSettings/printerSettings133.bin"/><Relationship Id="rId5" Type="http://schemas.openxmlformats.org/officeDocument/2006/relationships/printerSettings" Target="../printerSettings/printerSettings132.bin"/><Relationship Id="rId4" Type="http://schemas.openxmlformats.org/officeDocument/2006/relationships/printerSettings" Target="../printerSettings/printerSettings131.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36.bin"/><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 Id="rId6" Type="http://schemas.openxmlformats.org/officeDocument/2006/relationships/printerSettings" Target="../printerSettings/printerSettings139.bin"/><Relationship Id="rId5" Type="http://schemas.openxmlformats.org/officeDocument/2006/relationships/printerSettings" Target="../printerSettings/printerSettings138.bin"/><Relationship Id="rId4" Type="http://schemas.openxmlformats.org/officeDocument/2006/relationships/printerSettings" Target="../printerSettings/printerSettings137.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42.bin"/><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 Id="rId6" Type="http://schemas.openxmlformats.org/officeDocument/2006/relationships/printerSettings" Target="../printerSettings/printerSettings145.bin"/><Relationship Id="rId5" Type="http://schemas.openxmlformats.org/officeDocument/2006/relationships/printerSettings" Target="../printerSettings/printerSettings144.bin"/><Relationship Id="rId4" Type="http://schemas.openxmlformats.org/officeDocument/2006/relationships/printerSettings" Target="../printerSettings/printerSettings14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48.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6" Type="http://schemas.openxmlformats.org/officeDocument/2006/relationships/printerSettings" Target="../printerSettings/printerSettings151.bin"/><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54.bin"/><Relationship Id="rId2" Type="http://schemas.openxmlformats.org/officeDocument/2006/relationships/printerSettings" Target="../printerSettings/printerSettings153.bin"/><Relationship Id="rId1" Type="http://schemas.openxmlformats.org/officeDocument/2006/relationships/printerSettings" Target="../printerSettings/printerSettings152.bin"/><Relationship Id="rId6" Type="http://schemas.openxmlformats.org/officeDocument/2006/relationships/printerSettings" Target="../printerSettings/printerSettings157.bin"/><Relationship Id="rId5" Type="http://schemas.openxmlformats.org/officeDocument/2006/relationships/printerSettings" Target="../printerSettings/printerSettings156.bin"/><Relationship Id="rId4" Type="http://schemas.openxmlformats.org/officeDocument/2006/relationships/printerSettings" Target="../printerSettings/printerSettings155.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60.bin"/><Relationship Id="rId2" Type="http://schemas.openxmlformats.org/officeDocument/2006/relationships/printerSettings" Target="../printerSettings/printerSettings159.bin"/><Relationship Id="rId1" Type="http://schemas.openxmlformats.org/officeDocument/2006/relationships/printerSettings" Target="../printerSettings/printerSettings158.bin"/><Relationship Id="rId6" Type="http://schemas.openxmlformats.org/officeDocument/2006/relationships/printerSettings" Target="../printerSettings/printerSettings163.bin"/><Relationship Id="rId5" Type="http://schemas.openxmlformats.org/officeDocument/2006/relationships/printerSettings" Target="../printerSettings/printerSettings162.bin"/><Relationship Id="rId4" Type="http://schemas.openxmlformats.org/officeDocument/2006/relationships/printerSettings" Target="../printerSettings/printerSettings161.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66.bin"/><Relationship Id="rId2" Type="http://schemas.openxmlformats.org/officeDocument/2006/relationships/printerSettings" Target="../printerSettings/printerSettings165.bin"/><Relationship Id="rId1" Type="http://schemas.openxmlformats.org/officeDocument/2006/relationships/printerSettings" Target="../printerSettings/printerSettings164.bin"/><Relationship Id="rId6" Type="http://schemas.openxmlformats.org/officeDocument/2006/relationships/printerSettings" Target="../printerSettings/printerSettings169.bin"/><Relationship Id="rId5" Type="http://schemas.openxmlformats.org/officeDocument/2006/relationships/printerSettings" Target="../printerSettings/printerSettings168.bin"/><Relationship Id="rId4" Type="http://schemas.openxmlformats.org/officeDocument/2006/relationships/printerSettings" Target="../printerSettings/printerSettings16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72.bin"/><Relationship Id="rId2" Type="http://schemas.openxmlformats.org/officeDocument/2006/relationships/printerSettings" Target="../printerSettings/printerSettings171.bin"/><Relationship Id="rId1" Type="http://schemas.openxmlformats.org/officeDocument/2006/relationships/printerSettings" Target="../printerSettings/printerSettings170.bin"/><Relationship Id="rId6" Type="http://schemas.openxmlformats.org/officeDocument/2006/relationships/printerSettings" Target="../printerSettings/printerSettings175.bin"/><Relationship Id="rId5" Type="http://schemas.openxmlformats.org/officeDocument/2006/relationships/printerSettings" Target="../printerSettings/printerSettings174.bin"/><Relationship Id="rId4" Type="http://schemas.openxmlformats.org/officeDocument/2006/relationships/printerSettings" Target="../printerSettings/printerSettings173.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78.bin"/><Relationship Id="rId2" Type="http://schemas.openxmlformats.org/officeDocument/2006/relationships/printerSettings" Target="../printerSettings/printerSettings177.bin"/><Relationship Id="rId1" Type="http://schemas.openxmlformats.org/officeDocument/2006/relationships/printerSettings" Target="../printerSettings/printerSettings176.bin"/><Relationship Id="rId6" Type="http://schemas.openxmlformats.org/officeDocument/2006/relationships/printerSettings" Target="../printerSettings/printerSettings181.bin"/><Relationship Id="rId5" Type="http://schemas.openxmlformats.org/officeDocument/2006/relationships/printerSettings" Target="../printerSettings/printerSettings180.bin"/><Relationship Id="rId4" Type="http://schemas.openxmlformats.org/officeDocument/2006/relationships/printerSettings" Target="../printerSettings/printerSettings179.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84.bin"/><Relationship Id="rId2" Type="http://schemas.openxmlformats.org/officeDocument/2006/relationships/printerSettings" Target="../printerSettings/printerSettings183.bin"/><Relationship Id="rId1" Type="http://schemas.openxmlformats.org/officeDocument/2006/relationships/printerSettings" Target="../printerSettings/printerSettings182.bin"/><Relationship Id="rId6" Type="http://schemas.openxmlformats.org/officeDocument/2006/relationships/printerSettings" Target="../printerSettings/printerSettings187.bin"/><Relationship Id="rId5" Type="http://schemas.openxmlformats.org/officeDocument/2006/relationships/printerSettings" Target="../printerSettings/printerSettings186.bin"/><Relationship Id="rId4" Type="http://schemas.openxmlformats.org/officeDocument/2006/relationships/printerSettings" Target="../printerSettings/printerSettings185.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90.bin"/><Relationship Id="rId2" Type="http://schemas.openxmlformats.org/officeDocument/2006/relationships/printerSettings" Target="../printerSettings/printerSettings189.bin"/><Relationship Id="rId1" Type="http://schemas.openxmlformats.org/officeDocument/2006/relationships/printerSettings" Target="../printerSettings/printerSettings188.bin"/><Relationship Id="rId6" Type="http://schemas.openxmlformats.org/officeDocument/2006/relationships/printerSettings" Target="../printerSettings/printerSettings193.bin"/><Relationship Id="rId5" Type="http://schemas.openxmlformats.org/officeDocument/2006/relationships/printerSettings" Target="../printerSettings/printerSettings192.bin"/><Relationship Id="rId4" Type="http://schemas.openxmlformats.org/officeDocument/2006/relationships/printerSettings" Target="../printerSettings/printerSettings191.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96.bin"/><Relationship Id="rId2" Type="http://schemas.openxmlformats.org/officeDocument/2006/relationships/printerSettings" Target="../printerSettings/printerSettings195.bin"/><Relationship Id="rId1" Type="http://schemas.openxmlformats.org/officeDocument/2006/relationships/printerSettings" Target="../printerSettings/printerSettings194.bin"/><Relationship Id="rId6" Type="http://schemas.openxmlformats.org/officeDocument/2006/relationships/printerSettings" Target="../printerSettings/printerSettings199.bin"/><Relationship Id="rId5" Type="http://schemas.openxmlformats.org/officeDocument/2006/relationships/printerSettings" Target="../printerSettings/printerSettings198.bin"/><Relationship Id="rId4" Type="http://schemas.openxmlformats.org/officeDocument/2006/relationships/printerSettings" Target="../printerSettings/printerSettings197.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202.bin"/><Relationship Id="rId2" Type="http://schemas.openxmlformats.org/officeDocument/2006/relationships/printerSettings" Target="../printerSettings/printerSettings201.bin"/><Relationship Id="rId1" Type="http://schemas.openxmlformats.org/officeDocument/2006/relationships/printerSettings" Target="../printerSettings/printerSettings200.bin"/><Relationship Id="rId6" Type="http://schemas.openxmlformats.org/officeDocument/2006/relationships/printerSettings" Target="../printerSettings/printerSettings205.bin"/><Relationship Id="rId5" Type="http://schemas.openxmlformats.org/officeDocument/2006/relationships/printerSettings" Target="../printerSettings/printerSettings204.bin"/><Relationship Id="rId4" Type="http://schemas.openxmlformats.org/officeDocument/2006/relationships/printerSettings" Target="../printerSettings/printerSettings203.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208.bin"/><Relationship Id="rId2" Type="http://schemas.openxmlformats.org/officeDocument/2006/relationships/printerSettings" Target="../printerSettings/printerSettings207.bin"/><Relationship Id="rId1" Type="http://schemas.openxmlformats.org/officeDocument/2006/relationships/printerSettings" Target="../printerSettings/printerSettings206.bin"/><Relationship Id="rId6" Type="http://schemas.openxmlformats.org/officeDocument/2006/relationships/printerSettings" Target="../printerSettings/printerSettings211.bin"/><Relationship Id="rId5" Type="http://schemas.openxmlformats.org/officeDocument/2006/relationships/printerSettings" Target="../printerSettings/printerSettings210.bin"/><Relationship Id="rId4" Type="http://schemas.openxmlformats.org/officeDocument/2006/relationships/printerSettings" Target="../printerSettings/printerSettings209.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214.bin"/><Relationship Id="rId2" Type="http://schemas.openxmlformats.org/officeDocument/2006/relationships/printerSettings" Target="../printerSettings/printerSettings213.bin"/><Relationship Id="rId1" Type="http://schemas.openxmlformats.org/officeDocument/2006/relationships/printerSettings" Target="../printerSettings/printerSettings212.bin"/><Relationship Id="rId6" Type="http://schemas.openxmlformats.org/officeDocument/2006/relationships/printerSettings" Target="../printerSettings/printerSettings217.bin"/><Relationship Id="rId5" Type="http://schemas.openxmlformats.org/officeDocument/2006/relationships/printerSettings" Target="../printerSettings/printerSettings216.bin"/><Relationship Id="rId4" Type="http://schemas.openxmlformats.org/officeDocument/2006/relationships/printerSettings" Target="../printerSettings/printerSettings215.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220.bin"/><Relationship Id="rId2" Type="http://schemas.openxmlformats.org/officeDocument/2006/relationships/printerSettings" Target="../printerSettings/printerSettings219.bin"/><Relationship Id="rId1" Type="http://schemas.openxmlformats.org/officeDocument/2006/relationships/printerSettings" Target="../printerSettings/printerSettings218.bin"/><Relationship Id="rId6" Type="http://schemas.openxmlformats.org/officeDocument/2006/relationships/printerSettings" Target="../printerSettings/printerSettings223.bin"/><Relationship Id="rId5" Type="http://schemas.openxmlformats.org/officeDocument/2006/relationships/printerSettings" Target="../printerSettings/printerSettings222.bin"/><Relationship Id="rId4" Type="http://schemas.openxmlformats.org/officeDocument/2006/relationships/printerSettings" Target="../printerSettings/printerSettings221.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226.bin"/><Relationship Id="rId2" Type="http://schemas.openxmlformats.org/officeDocument/2006/relationships/printerSettings" Target="../printerSettings/printerSettings225.bin"/><Relationship Id="rId1" Type="http://schemas.openxmlformats.org/officeDocument/2006/relationships/printerSettings" Target="../printerSettings/printerSettings224.bin"/><Relationship Id="rId6" Type="http://schemas.openxmlformats.org/officeDocument/2006/relationships/printerSettings" Target="../printerSettings/printerSettings229.bin"/><Relationship Id="rId5" Type="http://schemas.openxmlformats.org/officeDocument/2006/relationships/printerSettings" Target="../printerSettings/printerSettings228.bin"/><Relationship Id="rId4" Type="http://schemas.openxmlformats.org/officeDocument/2006/relationships/printerSettings" Target="../printerSettings/printerSettings22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232.bin"/><Relationship Id="rId2" Type="http://schemas.openxmlformats.org/officeDocument/2006/relationships/printerSettings" Target="../printerSettings/printerSettings231.bin"/><Relationship Id="rId1" Type="http://schemas.openxmlformats.org/officeDocument/2006/relationships/printerSettings" Target="../printerSettings/printerSettings230.bin"/><Relationship Id="rId6" Type="http://schemas.openxmlformats.org/officeDocument/2006/relationships/printerSettings" Target="../printerSettings/printerSettings235.bin"/><Relationship Id="rId5" Type="http://schemas.openxmlformats.org/officeDocument/2006/relationships/printerSettings" Target="../printerSettings/printerSettings234.bin"/><Relationship Id="rId4" Type="http://schemas.openxmlformats.org/officeDocument/2006/relationships/printerSettings" Target="../printerSettings/printerSettings233.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238.bin"/><Relationship Id="rId2" Type="http://schemas.openxmlformats.org/officeDocument/2006/relationships/printerSettings" Target="../printerSettings/printerSettings237.bin"/><Relationship Id="rId1" Type="http://schemas.openxmlformats.org/officeDocument/2006/relationships/printerSettings" Target="../printerSettings/printerSettings236.bin"/><Relationship Id="rId6" Type="http://schemas.openxmlformats.org/officeDocument/2006/relationships/printerSettings" Target="../printerSettings/printerSettings241.bin"/><Relationship Id="rId5" Type="http://schemas.openxmlformats.org/officeDocument/2006/relationships/printerSettings" Target="../printerSettings/printerSettings240.bin"/><Relationship Id="rId4" Type="http://schemas.openxmlformats.org/officeDocument/2006/relationships/printerSettings" Target="../printerSettings/printerSettings239.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244.bin"/><Relationship Id="rId2" Type="http://schemas.openxmlformats.org/officeDocument/2006/relationships/printerSettings" Target="../printerSettings/printerSettings243.bin"/><Relationship Id="rId1" Type="http://schemas.openxmlformats.org/officeDocument/2006/relationships/printerSettings" Target="../printerSettings/printerSettings242.bin"/><Relationship Id="rId6" Type="http://schemas.openxmlformats.org/officeDocument/2006/relationships/printerSettings" Target="../printerSettings/printerSettings247.bin"/><Relationship Id="rId5" Type="http://schemas.openxmlformats.org/officeDocument/2006/relationships/printerSettings" Target="../printerSettings/printerSettings246.bin"/><Relationship Id="rId4" Type="http://schemas.openxmlformats.org/officeDocument/2006/relationships/printerSettings" Target="../printerSettings/printerSettings245.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250.bin"/><Relationship Id="rId2" Type="http://schemas.openxmlformats.org/officeDocument/2006/relationships/printerSettings" Target="../printerSettings/printerSettings249.bin"/><Relationship Id="rId1" Type="http://schemas.openxmlformats.org/officeDocument/2006/relationships/printerSettings" Target="../printerSettings/printerSettings248.bin"/><Relationship Id="rId4" Type="http://schemas.openxmlformats.org/officeDocument/2006/relationships/printerSettings" Target="../printerSettings/printerSettings25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5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5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5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5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5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5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59.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262.bin"/><Relationship Id="rId2" Type="http://schemas.openxmlformats.org/officeDocument/2006/relationships/printerSettings" Target="../printerSettings/printerSettings261.bin"/><Relationship Id="rId1" Type="http://schemas.openxmlformats.org/officeDocument/2006/relationships/printerSettings" Target="../printerSettings/printerSettings260.bin"/><Relationship Id="rId6" Type="http://schemas.openxmlformats.org/officeDocument/2006/relationships/printerSettings" Target="../printerSettings/printerSettings265.bin"/><Relationship Id="rId5" Type="http://schemas.openxmlformats.org/officeDocument/2006/relationships/printerSettings" Target="../printerSettings/printerSettings264.bin"/><Relationship Id="rId4" Type="http://schemas.openxmlformats.org/officeDocument/2006/relationships/printerSettings" Target="../printerSettings/printerSettings26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6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sheet1.xml><?xml version="1.0" encoding="utf-8"?>
<worksheet xmlns="http://schemas.openxmlformats.org/spreadsheetml/2006/main" xmlns:r="http://schemas.openxmlformats.org/officeDocument/2006/relationships">
  <sheetPr codeName="Лист46"/>
  <dimension ref="A1:AL1048576"/>
  <sheetViews>
    <sheetView workbookViewId="0">
      <selection sqref="A1:B1"/>
    </sheetView>
  </sheetViews>
  <sheetFormatPr defaultRowHeight="16.5"/>
  <cols>
    <col min="1" max="1" width="7.7109375" style="1070" customWidth="1"/>
    <col min="2" max="2" width="111.85546875" style="1071" customWidth="1"/>
    <col min="7" max="11" width="9.140625" style="1066"/>
    <col min="13" max="13" width="12.140625" customWidth="1"/>
  </cols>
  <sheetData>
    <row r="1" spans="1:14" ht="22.5">
      <c r="A1" s="1130" t="s">
        <v>2361</v>
      </c>
      <c r="B1" s="1130"/>
    </row>
    <row r="2" spans="1:14" ht="21">
      <c r="A2" s="1131" t="s">
        <v>2362</v>
      </c>
      <c r="B2" s="1131"/>
    </row>
    <row r="3" spans="1:14" ht="18">
      <c r="A3" s="1067" t="s">
        <v>888</v>
      </c>
      <c r="B3" s="1067" t="s">
        <v>2363</v>
      </c>
    </row>
    <row r="4" spans="1:14" ht="54">
      <c r="A4" s="1068">
        <v>1</v>
      </c>
      <c r="B4" s="1069" t="s">
        <v>2364</v>
      </c>
      <c r="E4">
        <v>1</v>
      </c>
      <c r="F4" t="b">
        <f>BA01.01!D14=(CA15.01!D16+CA15.01!D17+CA15.01!D18)</f>
        <v>1</v>
      </c>
    </row>
    <row r="5" spans="1:14" ht="36">
      <c r="A5" s="1068">
        <v>2</v>
      </c>
      <c r="B5" s="1069" t="s">
        <v>2583</v>
      </c>
      <c r="E5">
        <f t="shared" ref="E5:E43" si="0">E4+1</f>
        <v>2</v>
      </c>
      <c r="F5" t="b">
        <f>BA01.01!D40=(SI04.01!D10+SI04.01!D36)</f>
        <v>1</v>
      </c>
    </row>
    <row r="6" spans="1:14" ht="72">
      <c r="A6" s="1068">
        <v>3</v>
      </c>
      <c r="B6" s="1069" t="s">
        <v>2584</v>
      </c>
      <c r="E6" s="1066">
        <f t="shared" si="0"/>
        <v>3</v>
      </c>
      <c r="F6" t="b">
        <f>BA01.01!E41=(SI04.01!E20+SI04.01!E21+SI04.01!E27+SI04.01!E28+SI04.01!E46+SI04.01!E47+SI04.01!E53+SI04.01!E54)</f>
        <v>1</v>
      </c>
      <c r="M6" s="1066"/>
      <c r="N6" s="1066"/>
    </row>
    <row r="7" spans="1:14" ht="72">
      <c r="A7" s="1068">
        <v>4</v>
      </c>
      <c r="B7" s="1069" t="s">
        <v>2367</v>
      </c>
      <c r="E7" s="1066">
        <f t="shared" si="0"/>
        <v>4</v>
      </c>
      <c r="F7" s="1066" t="b">
        <f>BA01.01!E41=(SI04.01!D20+SI04.01!D21+SI04.01!D27+SI04.01!D28+SI04.01!D46+SI04.01!D47+SI04.01!D53+SI04.01!D54)</f>
        <v>1</v>
      </c>
    </row>
    <row r="8" spans="1:14" ht="54">
      <c r="A8" s="1068">
        <v>5</v>
      </c>
      <c r="B8" s="1069" t="s">
        <v>2368</v>
      </c>
      <c r="E8" s="1066">
        <f t="shared" si="0"/>
        <v>5</v>
      </c>
      <c r="F8" t="b">
        <f>BA01.01!E42=(SI04.01!E29+SI04.01!E48+SI04.01!E55+SI04.01!E29)</f>
        <v>1</v>
      </c>
    </row>
    <row r="9" spans="1:14" ht="54">
      <c r="A9" s="1068">
        <v>6</v>
      </c>
      <c r="B9" s="1069" t="s">
        <v>2369</v>
      </c>
      <c r="E9" s="1066">
        <f t="shared" si="0"/>
        <v>6</v>
      </c>
      <c r="F9" s="1066" t="b">
        <f>BA01.01!D42=(SI04.01!D29+SI04.01!D48+SI04.01!D55+SI04.01!D29)</f>
        <v>1</v>
      </c>
    </row>
    <row r="10" spans="1:14" ht="54">
      <c r="A10" s="1068">
        <v>7</v>
      </c>
      <c r="B10" s="1069" t="s">
        <v>2370</v>
      </c>
      <c r="E10" s="1066">
        <f t="shared" si="0"/>
        <v>7</v>
      </c>
      <c r="F10" t="b">
        <f>BA01.01!E43=(SI04.01!E12+SI04.01!E37+SI04.01!E38)</f>
        <v>1</v>
      </c>
    </row>
    <row r="11" spans="1:14" ht="54">
      <c r="A11" s="1068">
        <v>8</v>
      </c>
      <c r="B11" s="1069" t="s">
        <v>2371</v>
      </c>
      <c r="E11" s="1066">
        <f t="shared" si="0"/>
        <v>8</v>
      </c>
      <c r="F11" s="1066" t="b">
        <f>BA01.01!D43=(SI04.01!D12+SI04.01!D37+SI04.01!D38)</f>
        <v>1</v>
      </c>
    </row>
    <row r="12" spans="1:14" ht="162">
      <c r="A12" s="1068">
        <v>9</v>
      </c>
      <c r="B12" s="1069" t="s">
        <v>2372</v>
      </c>
      <c r="E12" s="1066">
        <f t="shared" si="0"/>
        <v>9</v>
      </c>
      <c r="F12" t="b">
        <f>BA01.01!E44=(SI04.01!E13+SI04.01!E14+SI04.01!E15+SI04.01!E16+SI04.01!E17+SI04.01!E18+SI04.01!E19+SI04.01!E26+SI04.01!E30+SI04.01!E31+SI04.01!E39+SI04.01!E40+SI04.01!E41+SI04.01!E42+SI04.01!E43+SI04.01!E44+SI04.01!E45+SI04.01!E52+SI04.01!E56+SI04.01!E57)</f>
        <v>1</v>
      </c>
    </row>
    <row r="13" spans="1:14" ht="162">
      <c r="A13" s="1068">
        <v>10</v>
      </c>
      <c r="B13" s="1069" t="s">
        <v>2373</v>
      </c>
      <c r="E13" s="1066">
        <f t="shared" si="0"/>
        <v>10</v>
      </c>
      <c r="F13" t="b">
        <f>BA01.01!D44=(SI04.01!D13+SI04.01!D14+SI04.01!D15+SI04.01!D16+SI04.01!D17+SI04.01!D18+SI04.01!D19+SI04.01!D26+SI04.01!D30+SI04.01!D31+SI04.01!D39+SI04.01!D40+SI04.01!D41+SI04.01!D42+SI04.01!D43+SI04.01!D44+SI04.01!D45+SI04.01!D52+SI04.01!D56+SI04.01!D57)</f>
        <v>1</v>
      </c>
    </row>
    <row r="14" spans="1:14" ht="54">
      <c r="A14" s="1068">
        <v>11</v>
      </c>
      <c r="B14" s="1069" t="s">
        <v>2374</v>
      </c>
      <c r="E14" s="1066">
        <f t="shared" si="0"/>
        <v>11</v>
      </c>
      <c r="F14" t="b">
        <f>BA01.01!D47=(SI04.01!D14+SI04.01!D19+SI04.01!D23)</f>
        <v>1</v>
      </c>
    </row>
    <row r="15" spans="1:14" ht="36">
      <c r="A15" s="1068">
        <v>12</v>
      </c>
      <c r="B15" s="1069" t="s">
        <v>2375</v>
      </c>
      <c r="E15" s="1066">
        <f t="shared" si="0"/>
        <v>12</v>
      </c>
      <c r="F15" t="b">
        <f>BA01.01!E70=(SI04.01!E62)</f>
        <v>1</v>
      </c>
    </row>
    <row r="16" spans="1:14" ht="36">
      <c r="A16" s="1068">
        <v>13</v>
      </c>
      <c r="B16" s="1069" t="s">
        <v>2376</v>
      </c>
      <c r="E16" s="1066">
        <f t="shared" si="0"/>
        <v>13</v>
      </c>
      <c r="F16" s="1066" t="b">
        <f>BA01.01!D70=(SI04.01!E62)</f>
        <v>1</v>
      </c>
    </row>
    <row r="17" spans="1:6" ht="54">
      <c r="A17" s="1068">
        <v>14</v>
      </c>
      <c r="B17" s="1069" t="s">
        <v>2377</v>
      </c>
      <c r="E17" s="1066">
        <f t="shared" si="0"/>
        <v>14</v>
      </c>
      <c r="F17" t="b">
        <f>BA01.01!E71=(SI04.01!E72+SI04.01!E73+SI04.01!E79+SI04.01!E80)</f>
        <v>1</v>
      </c>
    </row>
    <row r="18" spans="1:6" ht="54">
      <c r="A18" s="1068">
        <v>15</v>
      </c>
      <c r="B18" s="1069" t="s">
        <v>2378</v>
      </c>
      <c r="E18" s="1066">
        <f t="shared" si="0"/>
        <v>15</v>
      </c>
      <c r="F18" t="b">
        <f>BA01.01!D71=(SI04.01!D72+SI04.01!D73+SI04.01!D79+SI04.01!D80)</f>
        <v>1</v>
      </c>
    </row>
    <row r="19" spans="1:6" ht="36">
      <c r="A19" s="1068">
        <v>16</v>
      </c>
      <c r="B19" s="1069" t="s">
        <v>2379</v>
      </c>
      <c r="E19" s="1066">
        <f t="shared" si="0"/>
        <v>16</v>
      </c>
      <c r="F19" t="b">
        <f>BA01.01!E72=(SI04.01!E74+SI04.01!E81)</f>
        <v>1</v>
      </c>
    </row>
    <row r="20" spans="1:6" ht="36">
      <c r="A20" s="1068">
        <v>17</v>
      </c>
      <c r="B20" s="1069" t="s">
        <v>2380</v>
      </c>
      <c r="E20" s="1066">
        <f t="shared" si="0"/>
        <v>17</v>
      </c>
      <c r="F20" s="1066" t="b">
        <f>BA01.01!D72=(SI04.01!D74+SI04.01!D81)</f>
        <v>1</v>
      </c>
    </row>
    <row r="21" spans="1:6" ht="36">
      <c r="A21" s="1068">
        <v>18</v>
      </c>
      <c r="B21" s="1069" t="s">
        <v>2381</v>
      </c>
      <c r="E21" s="1066">
        <f t="shared" si="0"/>
        <v>18</v>
      </c>
      <c r="F21" s="1066" t="b">
        <f>BA01.01!E73=(SI04.01!E63+SI04.01!E64)</f>
        <v>1</v>
      </c>
    </row>
    <row r="22" spans="1:6" ht="36">
      <c r="A22" s="1068">
        <v>19</v>
      </c>
      <c r="B22" s="1069" t="s">
        <v>2382</v>
      </c>
      <c r="E22" s="1066">
        <f t="shared" si="0"/>
        <v>19</v>
      </c>
      <c r="F22" t="b">
        <f>BA01.01!D73=(SI04.01!D63+SI04.01!D64)</f>
        <v>1</v>
      </c>
    </row>
    <row r="23" spans="1:6" ht="90">
      <c r="A23" s="1068">
        <v>20</v>
      </c>
      <c r="B23" s="1069" t="s">
        <v>2383</v>
      </c>
      <c r="E23" s="1066">
        <f t="shared" si="0"/>
        <v>20</v>
      </c>
      <c r="F23" t="b">
        <f>BA01.01!E74=(SI04.01!E65+SI04.01!E66+SI04.01!E67+SI04.01!E68+SI04.01!E69+SI04.01!E70+SI04.01!E71+SI04.01!E78+SI04.01!E82+SI04.01!E83)</f>
        <v>1</v>
      </c>
    </row>
    <row r="24" spans="1:6" ht="90">
      <c r="A24" s="1068">
        <v>21</v>
      </c>
      <c r="B24" s="1069" t="s">
        <v>2384</v>
      </c>
      <c r="E24" s="1066">
        <f t="shared" si="0"/>
        <v>21</v>
      </c>
      <c r="F24" s="1066" t="b">
        <f>BA01.01!D74=(SI04.01!D65+SI04.01!D66+SI04.01!D67+SI04.01!D68+SI04.01!D69+SI04.01!D70+SI04.01!D71+SI04.01!D78+SI04.01!D82+SI04.01!D83)</f>
        <v>1</v>
      </c>
    </row>
    <row r="25" spans="1:6" ht="36">
      <c r="A25" s="1068">
        <v>22</v>
      </c>
      <c r="B25" s="1069" t="s">
        <v>2385</v>
      </c>
      <c r="E25" s="1066">
        <f t="shared" si="0"/>
        <v>22</v>
      </c>
      <c r="F25" t="b">
        <f>BA01.01!E95=(BB01.05!E7)</f>
        <v>1</v>
      </c>
    </row>
    <row r="26" spans="1:6" ht="36">
      <c r="A26" s="1068">
        <v>23</v>
      </c>
      <c r="B26" s="1069" t="s">
        <v>2386</v>
      </c>
      <c r="E26" s="1066">
        <f t="shared" si="0"/>
        <v>23</v>
      </c>
      <c r="F26" t="b">
        <f>BA01.01!D95=(BB01.05!D7)</f>
        <v>1</v>
      </c>
    </row>
    <row r="27" spans="1:6" ht="144">
      <c r="A27" s="1068">
        <v>24</v>
      </c>
      <c r="B27" s="1069" t="s">
        <v>2387</v>
      </c>
      <c r="E27" s="1066">
        <f t="shared" si="0"/>
        <v>24</v>
      </c>
      <c r="F27" s="1066" t="b">
        <f>BA01.01!D97=(CA15.03!D19+CA15.03!D20+CA15.03!D21+CA15.03!D22+CA15.03!D23+CA15.03!D24+CA15.04!D40+BA01.01!D84+BA01.01!D90+SI04.01!D27+SI04.01!D28+SI04.01!D29+SI04.01!D53+SI04.01!D54+SI04.01!D55+SI04.01!D79+SI04.01!D80+SI04.01!D81)</f>
        <v>1</v>
      </c>
    </row>
    <row r="28" spans="1:6" ht="36">
      <c r="A28" s="1068">
        <v>25</v>
      </c>
      <c r="B28" s="1069" t="s">
        <v>2388</v>
      </c>
      <c r="E28" s="1066">
        <f t="shared" si="0"/>
        <v>25</v>
      </c>
      <c r="F28" t="b">
        <f>BA01.01!D97=(BC01.03!D24)</f>
        <v>1</v>
      </c>
    </row>
    <row r="29" spans="1:6" ht="36">
      <c r="A29" s="1068">
        <v>26</v>
      </c>
      <c r="B29" s="1069" t="s">
        <v>2389</v>
      </c>
      <c r="E29" s="1066">
        <f t="shared" si="0"/>
        <v>26</v>
      </c>
      <c r="F29" t="b">
        <f>BL01.02!E45=BB01.05!E22</f>
        <v>1</v>
      </c>
    </row>
    <row r="30" spans="1:6" ht="36">
      <c r="A30" s="1068">
        <v>27</v>
      </c>
      <c r="B30" s="1069" t="s">
        <v>2390</v>
      </c>
      <c r="E30" s="1066">
        <f t="shared" si="0"/>
        <v>27</v>
      </c>
      <c r="F30" s="1066" t="b">
        <f>BL01.02!D45=BB01.05!D22</f>
        <v>1</v>
      </c>
    </row>
    <row r="31" spans="1:6" ht="36">
      <c r="A31" s="1068">
        <v>28</v>
      </c>
      <c r="B31" s="1069" t="s">
        <v>2391</v>
      </c>
      <c r="E31" s="1066">
        <f t="shared" si="0"/>
        <v>28</v>
      </c>
      <c r="F31" t="b">
        <f>BC01.03!D7=(CA15.05!D9+CA15.05!D10)</f>
        <v>1</v>
      </c>
    </row>
    <row r="32" spans="1:6" ht="36">
      <c r="A32" s="1068">
        <v>29</v>
      </c>
      <c r="B32" s="1069" t="s">
        <v>2392</v>
      </c>
      <c r="E32" s="1066">
        <f t="shared" si="0"/>
        <v>29</v>
      </c>
      <c r="F32" s="1066" t="b">
        <f>BC01.03!D10=CA15.05!D11</f>
        <v>1</v>
      </c>
    </row>
    <row r="33" spans="1:6" ht="36">
      <c r="A33" s="1068">
        <v>30</v>
      </c>
      <c r="B33" s="1069" t="s">
        <v>2393</v>
      </c>
      <c r="E33" s="1066">
        <f t="shared" si="0"/>
        <v>30</v>
      </c>
      <c r="F33" t="b">
        <f>BC01.03!D11=CA15.05!D16</f>
        <v>1</v>
      </c>
    </row>
    <row r="34" spans="1:6" ht="36">
      <c r="A34" s="1068">
        <v>31</v>
      </c>
      <c r="B34" s="1069" t="s">
        <v>2394</v>
      </c>
      <c r="E34" s="1066">
        <f t="shared" si="0"/>
        <v>31</v>
      </c>
      <c r="F34" t="b">
        <f>BC01.03!D14=CA15.05!D13</f>
        <v>1</v>
      </c>
    </row>
    <row r="35" spans="1:6" ht="36">
      <c r="A35" s="1068">
        <v>32</v>
      </c>
      <c r="B35" s="1069" t="s">
        <v>2395</v>
      </c>
      <c r="E35" s="1066">
        <f t="shared" si="0"/>
        <v>32</v>
      </c>
      <c r="F35" s="1066" t="b">
        <f>BC01.03!D15=CA15.05!D12</f>
        <v>1</v>
      </c>
    </row>
    <row r="36" spans="1:6" ht="36">
      <c r="A36" s="1068">
        <v>33</v>
      </c>
      <c r="B36" s="1069" t="s">
        <v>2396</v>
      </c>
      <c r="E36" s="1066">
        <f t="shared" si="0"/>
        <v>33</v>
      </c>
      <c r="F36" s="1066" t="b">
        <f>BC01.03!D16=CA15.05!D14</f>
        <v>1</v>
      </c>
    </row>
    <row r="37" spans="1:6" ht="54">
      <c r="A37" s="1068">
        <v>34</v>
      </c>
      <c r="B37" s="1069" t="s">
        <v>2397</v>
      </c>
      <c r="E37" s="1066">
        <f t="shared" si="0"/>
        <v>34</v>
      </c>
      <c r="F37" t="b">
        <f>BO01.04!D14=(CA15.04!D23+CA15.04!D24+CA15.04!D25)</f>
        <v>1</v>
      </c>
    </row>
    <row r="38" spans="1:6" ht="54">
      <c r="A38" s="1068">
        <v>35</v>
      </c>
      <c r="B38" s="1069" t="s">
        <v>2398</v>
      </c>
      <c r="E38" s="1066">
        <f t="shared" si="0"/>
        <v>35</v>
      </c>
      <c r="F38" t="b">
        <f>BO01.04!D15=(CA15.04!D14+CA15.04!D15+CA15.04!D16)</f>
        <v>1</v>
      </c>
    </row>
    <row r="39" spans="1:6" ht="72">
      <c r="A39" s="1068">
        <v>36</v>
      </c>
      <c r="B39" s="1069" t="s">
        <v>2399</v>
      </c>
      <c r="E39" s="1066">
        <f t="shared" si="0"/>
        <v>36</v>
      </c>
      <c r="F39" t="b">
        <f>BO01.04!D16=(CA15.04!D17+CA15.04!D18+CA15.04!D19+CA15.04!D26+CA15.04!D27+CA15.04!D28)</f>
        <v>1</v>
      </c>
    </row>
    <row r="40" spans="1:6" ht="54">
      <c r="A40" s="1068">
        <v>37</v>
      </c>
      <c r="B40" s="1069" t="s">
        <v>2400</v>
      </c>
      <c r="E40" s="1066">
        <f t="shared" si="0"/>
        <v>37</v>
      </c>
      <c r="F40" t="b">
        <f>BO01.04!D17=(CA15.04!D10+CA15.04!D11+CA15.04!D12+CA15.04!D13)</f>
        <v>1</v>
      </c>
    </row>
    <row r="41" spans="1:6" ht="54">
      <c r="A41" s="1068">
        <v>38</v>
      </c>
      <c r="B41" s="1069" t="s">
        <v>2401</v>
      </c>
      <c r="E41" s="1066">
        <f t="shared" si="0"/>
        <v>38</v>
      </c>
      <c r="F41" t="b">
        <f>BO01.04!D21=(CA15.04!D32+CA15.04!D33+CA15.04!D34)</f>
        <v>1</v>
      </c>
    </row>
    <row r="42" spans="1:6" ht="54">
      <c r="A42" s="1068">
        <v>39</v>
      </c>
      <c r="B42" s="1069" t="s">
        <v>2402</v>
      </c>
      <c r="E42" s="1066">
        <f t="shared" si="0"/>
        <v>39</v>
      </c>
      <c r="F42" t="b">
        <f>BO01.04!D23=(CA15.04!D20+CA15.04!D21+CA15.04!D22)</f>
        <v>1</v>
      </c>
    </row>
    <row r="43" spans="1:6" ht="54">
      <c r="A43" s="1068">
        <v>40</v>
      </c>
      <c r="B43" s="1069" t="s">
        <v>2403</v>
      </c>
      <c r="E43" s="1066">
        <f t="shared" si="0"/>
        <v>40</v>
      </c>
      <c r="F43" t="b">
        <f>BO01.04!D24=(CA15.04!D29+CA15.04!D30+CA15.04!D31)</f>
        <v>1</v>
      </c>
    </row>
    <row r="44" spans="1:6" ht="54">
      <c r="A44" s="1068">
        <v>41</v>
      </c>
      <c r="B44" s="1069" t="s">
        <v>2404</v>
      </c>
      <c r="E44" s="1066">
        <f t="shared" ref="E44:E107" si="1">E43+1</f>
        <v>41</v>
      </c>
      <c r="F44" s="1066" t="b">
        <f>BB01.05!D17=(OA05.01!D28+OA05.02!D28-BB01.05!D16-BB01.05!D18)</f>
        <v>1</v>
      </c>
    </row>
    <row r="45" spans="1:6" ht="54">
      <c r="A45" s="1068">
        <v>42</v>
      </c>
      <c r="B45" s="1069" t="s">
        <v>2405</v>
      </c>
      <c r="E45" s="1066">
        <f t="shared" si="1"/>
        <v>42</v>
      </c>
      <c r="F45" t="b">
        <f>BB01.05!D18&gt;(OA05.01!D28+OA05.02!D28-BB01.05!D16-BB01.05!D17)</f>
        <v>0</v>
      </c>
    </row>
    <row r="46" spans="1:6" ht="36">
      <c r="A46" s="1068">
        <v>43</v>
      </c>
      <c r="B46" s="1069" t="s">
        <v>2406</v>
      </c>
      <c r="E46" s="1066">
        <f t="shared" si="1"/>
        <v>43</v>
      </c>
      <c r="F46" t="b">
        <f>(PL02.01!D58-PL02.01!D60)=(MI17.01!D77-MI17.01!D78)</f>
        <v>1</v>
      </c>
    </row>
    <row r="47" spans="1:6" ht="36">
      <c r="A47" s="1068">
        <v>44</v>
      </c>
      <c r="B47" s="1069" t="s">
        <v>2407</v>
      </c>
      <c r="E47" s="1066">
        <f t="shared" si="1"/>
        <v>44</v>
      </c>
      <c r="F47" t="b">
        <f>PL02.01!D92=MI17.01!D15</f>
        <v>1</v>
      </c>
    </row>
    <row r="48" spans="1:6" ht="36">
      <c r="A48" s="1068">
        <v>45</v>
      </c>
      <c r="B48" s="1069" t="s">
        <v>2408</v>
      </c>
      <c r="E48" s="1066">
        <f t="shared" si="1"/>
        <v>45</v>
      </c>
      <c r="F48" t="b">
        <f>PL02.01!D135=BC01.03!D13</f>
        <v>1</v>
      </c>
    </row>
    <row r="49" spans="1:6" ht="36">
      <c r="A49" s="1068">
        <v>46</v>
      </c>
      <c r="B49" s="1069" t="s">
        <v>2409</v>
      </c>
      <c r="E49" s="1066">
        <f t="shared" si="1"/>
        <v>46</v>
      </c>
      <c r="F49" t="b">
        <f>CC03.01!D25=BC01.03!D23</f>
        <v>1</v>
      </c>
    </row>
    <row r="50" spans="1:6" ht="54">
      <c r="A50" s="1068">
        <v>47</v>
      </c>
      <c r="B50" s="1069" t="s">
        <v>2410</v>
      </c>
      <c r="E50" s="1066">
        <f t="shared" si="1"/>
        <v>47</v>
      </c>
      <c r="F50" s="1066" t="b">
        <f>OA05.02!D28=(BB01.05!E16+BB01.05!E17+BB01.05!E18)</f>
        <v>1</v>
      </c>
    </row>
    <row r="51" spans="1:6" ht="54">
      <c r="A51" s="1068">
        <v>48</v>
      </c>
      <c r="B51" s="1069" t="s">
        <v>2411</v>
      </c>
      <c r="E51" s="1066">
        <f t="shared" si="1"/>
        <v>48</v>
      </c>
      <c r="F51" t="b">
        <f>OA05.01!D28=(BB01.05!D16+BB01.05!D17+BB01.05!D18-OA05.02!D28)</f>
        <v>1</v>
      </c>
    </row>
    <row r="52" spans="1:6" ht="36">
      <c r="A52" s="1068">
        <v>49</v>
      </c>
      <c r="B52" s="1069" t="s">
        <v>2412</v>
      </c>
      <c r="E52" s="1066">
        <f t="shared" si="1"/>
        <v>49</v>
      </c>
      <c r="F52" t="b">
        <f>CA06.01!E8=(BA01.01!D58-BA01.01!E58)</f>
        <v>1</v>
      </c>
    </row>
    <row r="53" spans="1:6" ht="54">
      <c r="A53" s="1068">
        <v>50</v>
      </c>
      <c r="B53" s="1069" t="s">
        <v>2413</v>
      </c>
      <c r="E53" s="1066">
        <f t="shared" si="1"/>
        <v>50</v>
      </c>
      <c r="F53" t="b">
        <f>CA06.01!E8=(OA05.01!D8-BA01.01!D51+BA01.01!E51)</f>
        <v>1</v>
      </c>
    </row>
    <row r="54" spans="1:6" ht="36">
      <c r="A54" s="1068">
        <v>51</v>
      </c>
      <c r="B54" s="1069" t="s">
        <v>2414</v>
      </c>
      <c r="E54" s="1066">
        <f t="shared" si="1"/>
        <v>51</v>
      </c>
      <c r="F54" t="b">
        <f>CA06.01!D8=OA05.01!D8</f>
        <v>1</v>
      </c>
    </row>
    <row r="55" spans="1:6" ht="36">
      <c r="A55" s="1068">
        <v>52</v>
      </c>
      <c r="B55" s="1069" t="s">
        <v>2415</v>
      </c>
      <c r="E55" s="1066">
        <f t="shared" si="1"/>
        <v>52</v>
      </c>
      <c r="F55" t="b">
        <f>CA06.02!D8=OA05.02!D8</f>
        <v>1</v>
      </c>
    </row>
    <row r="56" spans="1:6" ht="36">
      <c r="A56" s="1068">
        <v>53</v>
      </c>
      <c r="B56" s="1069" t="s">
        <v>2416</v>
      </c>
      <c r="E56" s="1066">
        <f t="shared" si="1"/>
        <v>53</v>
      </c>
      <c r="F56" t="b">
        <f>CA06.01!E9=(OA05.01!D9-BA01.01!D52+BA01.01!E52)</f>
        <v>1</v>
      </c>
    </row>
    <row r="57" spans="1:6" ht="54">
      <c r="A57" s="1068">
        <v>54</v>
      </c>
      <c r="B57" s="1069" t="s">
        <v>2417</v>
      </c>
      <c r="E57" s="1066">
        <f t="shared" si="1"/>
        <v>54</v>
      </c>
      <c r="F57" t="b">
        <f>CA06.01!E10=(OA05.01!D10-BA01.01!D53+BA01.01!E53)</f>
        <v>1</v>
      </c>
    </row>
    <row r="58" spans="1:6" ht="54">
      <c r="A58" s="1068">
        <v>55</v>
      </c>
      <c r="B58" s="1069" t="s">
        <v>2418</v>
      </c>
      <c r="E58" s="1066">
        <f t="shared" si="1"/>
        <v>55</v>
      </c>
      <c r="F58" t="b">
        <f>CA06.01!E11=(OA05.01!D11-BA01.01!D54+BA01.01!E54)</f>
        <v>1</v>
      </c>
    </row>
    <row r="59" spans="1:6" ht="54">
      <c r="A59" s="1068">
        <v>56</v>
      </c>
      <c r="B59" s="1069" t="s">
        <v>2419</v>
      </c>
      <c r="E59" s="1066">
        <f t="shared" si="1"/>
        <v>56</v>
      </c>
      <c r="F59" t="b">
        <f>CA06.01!E12=(OA05.01!D12-BA01.01!D55+BA01.01!E55)</f>
        <v>1</v>
      </c>
    </row>
    <row r="60" spans="1:6" ht="36">
      <c r="A60" s="1068">
        <v>57</v>
      </c>
      <c r="B60" s="1069" t="s">
        <v>2420</v>
      </c>
      <c r="E60" s="1066">
        <f t="shared" si="1"/>
        <v>57</v>
      </c>
      <c r="F60" t="b">
        <f>CA06.01!E13&lt;CL20.01!E8</f>
        <v>0</v>
      </c>
    </row>
    <row r="61" spans="1:6" ht="54">
      <c r="A61" s="1068">
        <v>58</v>
      </c>
      <c r="B61" s="1069" t="s">
        <v>2421</v>
      </c>
      <c r="E61" s="1066">
        <f t="shared" si="1"/>
        <v>58</v>
      </c>
      <c r="F61" t="b">
        <f>CA06.01!E13=(OA05.01!D13-BA01.01!D56+BA01.01!E56)</f>
        <v>1</v>
      </c>
    </row>
    <row r="62" spans="1:6" ht="54">
      <c r="A62" s="1068">
        <v>59</v>
      </c>
      <c r="B62" s="1069" t="s">
        <v>2422</v>
      </c>
      <c r="E62" s="1066">
        <f t="shared" si="1"/>
        <v>59</v>
      </c>
      <c r="F62" t="b">
        <f>CA06.01!E14=(OA05.01!D14-BA01.01!D57+BA01.01!E57)</f>
        <v>1</v>
      </c>
    </row>
    <row r="63" spans="1:6" ht="54">
      <c r="A63" s="1068">
        <v>60</v>
      </c>
      <c r="B63" s="1069" t="s">
        <v>2423</v>
      </c>
      <c r="E63" s="1066">
        <f t="shared" si="1"/>
        <v>60</v>
      </c>
      <c r="F63" t="b">
        <f>CA06.01!E15=(OA05.01!D15-BA01.01!D59+BA01.01!E59)</f>
        <v>1</v>
      </c>
    </row>
    <row r="64" spans="1:6" ht="36">
      <c r="A64" s="1068">
        <v>61</v>
      </c>
      <c r="B64" s="1069" t="s">
        <v>2424</v>
      </c>
      <c r="E64" s="1066">
        <f t="shared" si="1"/>
        <v>61</v>
      </c>
      <c r="F64" t="b">
        <f>CA06.01!E15=(BA01.01!D60-BA01.01!E60)</f>
        <v>1</v>
      </c>
    </row>
    <row r="65" spans="1:6" ht="36">
      <c r="A65" s="1068">
        <v>62</v>
      </c>
      <c r="B65" s="1069" t="s">
        <v>2425</v>
      </c>
      <c r="E65" s="1066">
        <f t="shared" si="1"/>
        <v>62</v>
      </c>
      <c r="F65" t="b">
        <f>CA06.01!D16=OA05.01!D16</f>
        <v>1</v>
      </c>
    </row>
    <row r="66" spans="1:6" ht="36">
      <c r="A66" s="1068">
        <v>63</v>
      </c>
      <c r="B66" s="1069" t="s">
        <v>2426</v>
      </c>
      <c r="E66" s="1066">
        <f t="shared" si="1"/>
        <v>63</v>
      </c>
      <c r="F66" t="b">
        <f>CA06.02!D16=OA05.02!D16</f>
        <v>1</v>
      </c>
    </row>
    <row r="67" spans="1:6" ht="54">
      <c r="A67" s="1068">
        <v>64</v>
      </c>
      <c r="B67" s="1069" t="s">
        <v>2427</v>
      </c>
      <c r="E67" s="1066">
        <f t="shared" si="1"/>
        <v>64</v>
      </c>
      <c r="F67" t="b">
        <f>CA06.01!E16=OA05.01!D16-BA01.01!D61+BA01.01!E61</f>
        <v>1</v>
      </c>
    </row>
    <row r="68" spans="1:6" ht="54">
      <c r="A68" s="1068">
        <v>65</v>
      </c>
      <c r="B68" s="1069" t="s">
        <v>2428</v>
      </c>
      <c r="E68" s="1066">
        <f t="shared" si="1"/>
        <v>65</v>
      </c>
      <c r="F68" t="b">
        <f>CA06.01!E17=OA05.01!D17-BA01.01!D62+BA01.01!E62</f>
        <v>1</v>
      </c>
    </row>
    <row r="69" spans="1:6" ht="54">
      <c r="A69" s="1068">
        <v>66</v>
      </c>
      <c r="B69" s="1069" t="s">
        <v>2429</v>
      </c>
      <c r="E69" s="1066">
        <f t="shared" si="1"/>
        <v>66</v>
      </c>
      <c r="F69" t="b">
        <f>CA06.01!E18=OA05.01!D18-BA01.01!D63+BA01.01!E63</f>
        <v>1</v>
      </c>
    </row>
    <row r="70" spans="1:6" ht="54">
      <c r="A70" s="1068">
        <v>67</v>
      </c>
      <c r="B70" s="1069" t="s">
        <v>2430</v>
      </c>
      <c r="E70" s="1066">
        <f t="shared" si="1"/>
        <v>67</v>
      </c>
      <c r="F70" t="b">
        <f>CA06.01!E19=OA05.01!D19-BA01.01!D64+BA01.01!E64</f>
        <v>1</v>
      </c>
    </row>
    <row r="71" spans="1:6" ht="54">
      <c r="A71" s="1068">
        <v>68</v>
      </c>
      <c r="B71" s="1069" t="s">
        <v>2431</v>
      </c>
      <c r="E71" s="1066">
        <f t="shared" si="1"/>
        <v>68</v>
      </c>
      <c r="F71" s="1066" t="b">
        <f>CA06.01!E20=OA05.01!D20-BA01.01!D65+BA01.01!E65</f>
        <v>1</v>
      </c>
    </row>
    <row r="72" spans="1:6" ht="54">
      <c r="A72" s="1068">
        <v>69</v>
      </c>
      <c r="B72" s="1069" t="s">
        <v>2432</v>
      </c>
      <c r="E72" s="1066">
        <f t="shared" si="1"/>
        <v>69</v>
      </c>
      <c r="F72" t="b">
        <f>CA06.01!E21=OA05.01!D21-BA01.01!D66+BA01.01!E66</f>
        <v>1</v>
      </c>
    </row>
    <row r="73" spans="1:6" ht="54">
      <c r="A73" s="1068">
        <v>70</v>
      </c>
      <c r="B73" s="1069" t="s">
        <v>2433</v>
      </c>
      <c r="E73" s="1066">
        <f t="shared" si="1"/>
        <v>70</v>
      </c>
      <c r="F73" t="b">
        <f>CA06.01!E22=OA05.01!D22-BA01.01!D67+BA01.01!E67</f>
        <v>1</v>
      </c>
    </row>
    <row r="74" spans="1:6" ht="54">
      <c r="A74" s="1068">
        <v>71</v>
      </c>
      <c r="B74" s="1069" t="s">
        <v>2434</v>
      </c>
      <c r="E74" s="1066">
        <f t="shared" si="1"/>
        <v>71</v>
      </c>
      <c r="F74" t="b">
        <f>CA06.01!E23=OA05.01!D23-BA01.01!D16-BA01.01!D28+BA01.01!E16+BA01.01!E28</f>
        <v>1</v>
      </c>
    </row>
    <row r="75" spans="1:6" ht="54">
      <c r="A75" s="1068">
        <v>72</v>
      </c>
      <c r="B75" s="1069" t="s">
        <v>2435</v>
      </c>
      <c r="E75" s="1066">
        <f t="shared" si="1"/>
        <v>72</v>
      </c>
      <c r="F75" s="1066" t="b">
        <f>CA06.01!E24=OA05.01!D24-BA01.01!D17-BA01.01!D29+BA01.01!E17+BA01.01!E29</f>
        <v>1</v>
      </c>
    </row>
    <row r="76" spans="1:6" ht="54">
      <c r="A76" s="1068">
        <v>73</v>
      </c>
      <c r="B76" s="1069" t="s">
        <v>2436</v>
      </c>
      <c r="E76" s="1066">
        <f t="shared" si="1"/>
        <v>73</v>
      </c>
      <c r="F76" s="1066" t="b">
        <f>CA06.01!E25=OA05.01!D25-BA01.01!D22-BA01.01!D34+BA01.01!E22+BA01.01!E34</f>
        <v>1</v>
      </c>
    </row>
    <row r="77" spans="1:6" ht="54">
      <c r="A77" s="1068">
        <v>74</v>
      </c>
      <c r="B77" s="1069" t="s">
        <v>2437</v>
      </c>
      <c r="E77" s="1066">
        <f t="shared" si="1"/>
        <v>74</v>
      </c>
      <c r="F77" s="1066" t="b">
        <f>CA06.01!E26=OA05.01!D26-BA01.01!D23-BA01.01!D35+BA01.01!E23+BA01.01!E35</f>
        <v>1</v>
      </c>
    </row>
    <row r="78" spans="1:6" ht="72">
      <c r="A78" s="1068">
        <v>75</v>
      </c>
      <c r="B78" s="1069" t="s">
        <v>2438</v>
      </c>
      <c r="E78" s="1066">
        <f t="shared" si="1"/>
        <v>75</v>
      </c>
      <c r="F78" s="1066" t="b">
        <f>CA06.01!E27=OA05.01!D27-SI04.01!D9-SI04.01!D35-SI04.01!D61+SI04.01!E9+SI04.01!E35+SI04.01!E61</f>
        <v>1</v>
      </c>
    </row>
    <row r="79" spans="1:6" ht="36">
      <c r="A79" s="1068">
        <v>76</v>
      </c>
      <c r="B79" s="1069" t="s">
        <v>2439</v>
      </c>
      <c r="E79" s="1066">
        <f t="shared" si="1"/>
        <v>76</v>
      </c>
      <c r="F79" s="1066" t="b">
        <f>CA06.01!D28&lt;OA05.01!D28</f>
        <v>0</v>
      </c>
    </row>
    <row r="80" spans="1:6" ht="36">
      <c r="A80" s="1068">
        <v>77</v>
      </c>
      <c r="B80" s="1069" t="s">
        <v>2440</v>
      </c>
      <c r="E80" s="1066">
        <f t="shared" si="1"/>
        <v>77</v>
      </c>
      <c r="F80" s="1066" t="b">
        <f>CA06.01!D11&lt;CL20.01!D15</f>
        <v>0</v>
      </c>
    </row>
    <row r="81" spans="1:6" ht="36">
      <c r="A81" s="1068">
        <v>78</v>
      </c>
      <c r="B81" s="1069" t="s">
        <v>2441</v>
      </c>
      <c r="E81" s="1066">
        <f t="shared" si="1"/>
        <v>78</v>
      </c>
      <c r="F81" s="1066" t="b">
        <f>CA06.01!D13+CA06.01!D21&lt;CL20.01!D8</f>
        <v>0</v>
      </c>
    </row>
    <row r="82" spans="1:6" ht="36">
      <c r="A82" s="1068">
        <v>79</v>
      </c>
      <c r="B82" s="1069" t="s">
        <v>2442</v>
      </c>
      <c r="E82" s="1066">
        <f t="shared" si="1"/>
        <v>79</v>
      </c>
      <c r="F82" s="1066" t="b">
        <f>CA06.02!D11&lt;CL20.02!D15</f>
        <v>0</v>
      </c>
    </row>
    <row r="83" spans="1:6" ht="36">
      <c r="A83" s="1068">
        <v>80</v>
      </c>
      <c r="B83" s="1069" t="s">
        <v>2443</v>
      </c>
      <c r="E83" s="1066">
        <f t="shared" si="1"/>
        <v>80</v>
      </c>
      <c r="F83" s="1066" t="b">
        <f>CA06.02!D13+CA06.02!D21&lt;CL20.02!D8</f>
        <v>0</v>
      </c>
    </row>
    <row r="84" spans="1:6" ht="36">
      <c r="A84" s="1068">
        <v>81</v>
      </c>
      <c r="B84" s="1069" t="s">
        <v>2444</v>
      </c>
      <c r="E84" s="1066">
        <f t="shared" si="1"/>
        <v>81</v>
      </c>
      <c r="F84" s="1066" t="b">
        <f>CA06.02!E8=BA01.01!E58</f>
        <v>1</v>
      </c>
    </row>
    <row r="85" spans="1:6" ht="36">
      <c r="A85" s="1068">
        <v>82</v>
      </c>
      <c r="B85" s="1069" t="s">
        <v>2445</v>
      </c>
      <c r="E85" s="1066">
        <f t="shared" si="1"/>
        <v>82</v>
      </c>
      <c r="F85" s="1066" t="b">
        <f>CA06.02!E8=OA05.02!D8-BA01.01!E51</f>
        <v>1</v>
      </c>
    </row>
    <row r="86" spans="1:6" ht="36">
      <c r="A86" s="1068">
        <v>83</v>
      </c>
      <c r="B86" s="1069" t="s">
        <v>2446</v>
      </c>
      <c r="E86" s="1066">
        <f t="shared" si="1"/>
        <v>83</v>
      </c>
      <c r="F86" s="1066" t="b">
        <f>CA06.02!E9=OA05.02!D9-BA01.01!E52</f>
        <v>1</v>
      </c>
    </row>
    <row r="87" spans="1:6" ht="36">
      <c r="A87" s="1068">
        <v>84</v>
      </c>
      <c r="B87" s="1069" t="s">
        <v>2447</v>
      </c>
      <c r="E87" s="1066">
        <f t="shared" si="1"/>
        <v>84</v>
      </c>
      <c r="F87" s="1066" t="b">
        <f>CA06.02!E10=OA05.02!D10-BA01.01!E53</f>
        <v>1</v>
      </c>
    </row>
    <row r="88" spans="1:6" ht="36">
      <c r="A88" s="1068">
        <v>85</v>
      </c>
      <c r="B88" s="1069" t="s">
        <v>2448</v>
      </c>
      <c r="E88" s="1066">
        <f t="shared" si="1"/>
        <v>85</v>
      </c>
      <c r="F88" s="1066" t="b">
        <f>CA06.02!E11=OA05.02!D11-BA01.01!E54</f>
        <v>1</v>
      </c>
    </row>
    <row r="89" spans="1:6" ht="36">
      <c r="A89" s="1068">
        <v>86</v>
      </c>
      <c r="B89" s="1069" t="s">
        <v>2449</v>
      </c>
      <c r="E89" s="1066">
        <f t="shared" si="1"/>
        <v>86</v>
      </c>
      <c r="F89" s="1066" t="b">
        <f>CA06.02!E12=OA05.02!D12-BA01.01!E55</f>
        <v>1</v>
      </c>
    </row>
    <row r="90" spans="1:6" ht="36">
      <c r="A90" s="1068">
        <v>87</v>
      </c>
      <c r="B90" s="1069" t="s">
        <v>2450</v>
      </c>
      <c r="E90" s="1066">
        <f t="shared" si="1"/>
        <v>87</v>
      </c>
      <c r="F90" s="1066" t="b">
        <f>CA06.02!E13=OA05.02!D13-BA01.01!E56</f>
        <v>1</v>
      </c>
    </row>
    <row r="91" spans="1:6" ht="36">
      <c r="A91" s="1068">
        <v>88</v>
      </c>
      <c r="B91" s="1069" t="s">
        <v>2451</v>
      </c>
      <c r="E91" s="1066">
        <f t="shared" si="1"/>
        <v>88</v>
      </c>
      <c r="F91" s="1066" t="b">
        <f>CA06.02!E14=OA05.02!D14-BA01.01!E57</f>
        <v>1</v>
      </c>
    </row>
    <row r="92" spans="1:6" ht="36">
      <c r="A92" s="1068">
        <v>89</v>
      </c>
      <c r="B92" s="1069" t="s">
        <v>2452</v>
      </c>
      <c r="E92" s="1066">
        <f t="shared" si="1"/>
        <v>89</v>
      </c>
      <c r="F92" s="1066" t="b">
        <f>CA06.02!E15=BA01.01!E60</f>
        <v>1</v>
      </c>
    </row>
    <row r="93" spans="1:6" ht="36">
      <c r="A93" s="1068">
        <v>90</v>
      </c>
      <c r="B93" s="1069" t="s">
        <v>2453</v>
      </c>
      <c r="E93" s="1066">
        <f t="shared" si="1"/>
        <v>90</v>
      </c>
      <c r="F93" s="1066" t="b">
        <f>CA06.02!E15=OA05.02!D15-BA01.01!E59</f>
        <v>1</v>
      </c>
    </row>
    <row r="94" spans="1:6" ht="36">
      <c r="A94" s="1068">
        <v>91</v>
      </c>
      <c r="B94" s="1069" t="s">
        <v>2454</v>
      </c>
      <c r="E94" s="1066">
        <f t="shared" si="1"/>
        <v>91</v>
      </c>
      <c r="F94" s="1066" t="b">
        <f>CA06.02!E16=OA05.02!D16-BA01.01!E61</f>
        <v>1</v>
      </c>
    </row>
    <row r="95" spans="1:6" ht="36">
      <c r="A95" s="1068">
        <v>92</v>
      </c>
      <c r="B95" s="1069" t="s">
        <v>2455</v>
      </c>
      <c r="E95" s="1066">
        <f t="shared" si="1"/>
        <v>92</v>
      </c>
      <c r="F95" s="1066" t="b">
        <f>CA06.02!E17=OA05.02!D17-BA01.01!E62</f>
        <v>1</v>
      </c>
    </row>
    <row r="96" spans="1:6" ht="36">
      <c r="A96" s="1068">
        <v>93</v>
      </c>
      <c r="B96" s="1069" t="s">
        <v>2456</v>
      </c>
      <c r="E96" s="1066">
        <f t="shared" si="1"/>
        <v>93</v>
      </c>
      <c r="F96" s="1066" t="s">
        <v>2585</v>
      </c>
    </row>
    <row r="97" spans="1:38" ht="36">
      <c r="A97" s="1068">
        <v>94</v>
      </c>
      <c r="B97" s="1069" t="s">
        <v>2457</v>
      </c>
      <c r="E97" s="1066">
        <f t="shared" si="1"/>
        <v>94</v>
      </c>
      <c r="F97" s="1066" t="b">
        <f>CA06.02!E19=OA05.02!D19-BA01.01!E64</f>
        <v>1</v>
      </c>
    </row>
    <row r="98" spans="1:38" ht="36">
      <c r="A98" s="1068">
        <v>95</v>
      </c>
      <c r="B98" s="1069" t="s">
        <v>2458</v>
      </c>
      <c r="E98" s="1066">
        <f t="shared" si="1"/>
        <v>95</v>
      </c>
      <c r="F98" s="1066" t="b">
        <f>CA06.02!E20=OA05.02!D20-BA01.01!E65</f>
        <v>1</v>
      </c>
    </row>
    <row r="99" spans="1:38" ht="36">
      <c r="A99" s="1068">
        <v>96</v>
      </c>
      <c r="B99" s="1069" t="s">
        <v>2459</v>
      </c>
      <c r="E99" s="1066">
        <f t="shared" si="1"/>
        <v>96</v>
      </c>
      <c r="F99" s="1066" t="b">
        <f>CA06.02!E21=OA05.02!D21-BA01.01!E66</f>
        <v>1</v>
      </c>
    </row>
    <row r="100" spans="1:38" ht="36">
      <c r="A100" s="1068">
        <v>97</v>
      </c>
      <c r="B100" s="1069" t="s">
        <v>2460</v>
      </c>
      <c r="E100" s="1066">
        <f t="shared" si="1"/>
        <v>97</v>
      </c>
      <c r="F100" s="1066" t="b">
        <f>CA06.02!E22=OA05.02!D22-BA01.01!E67</f>
        <v>1</v>
      </c>
    </row>
    <row r="101" spans="1:38" ht="54">
      <c r="A101" s="1068">
        <v>98</v>
      </c>
      <c r="B101" s="1069" t="s">
        <v>2461</v>
      </c>
      <c r="E101" s="1066">
        <f t="shared" si="1"/>
        <v>98</v>
      </c>
      <c r="F101" s="1066" t="b">
        <f>CA06.02!E23=OA05.02!D23-BA01.01!E16-BA01.01!E28</f>
        <v>1</v>
      </c>
    </row>
    <row r="102" spans="1:38" ht="54">
      <c r="A102" s="1068">
        <v>99</v>
      </c>
      <c r="B102" s="1069" t="s">
        <v>2462</v>
      </c>
      <c r="E102" s="1066">
        <f t="shared" si="1"/>
        <v>99</v>
      </c>
      <c r="F102" s="1066" t="b">
        <f>CA06.02!E24=OA05.02!D24-BA01.01!E17-BA01.01!E29</f>
        <v>1</v>
      </c>
    </row>
    <row r="103" spans="1:38" ht="54">
      <c r="A103" s="1068">
        <v>100</v>
      </c>
      <c r="B103" s="1069" t="s">
        <v>2463</v>
      </c>
      <c r="E103" s="1066">
        <f t="shared" si="1"/>
        <v>100</v>
      </c>
      <c r="F103" s="1066" t="b">
        <f>CA06.02!E25=OA05.02!D25-BA01.01!E22-BA01.01!E34</f>
        <v>1</v>
      </c>
    </row>
    <row r="104" spans="1:38" ht="54">
      <c r="A104" s="1068">
        <v>101</v>
      </c>
      <c r="B104" s="1069" t="s">
        <v>2464</v>
      </c>
      <c r="E104" s="1066">
        <f t="shared" si="1"/>
        <v>101</v>
      </c>
      <c r="F104" s="1066" t="b">
        <f>CA06.02!E26=OA05.02!D26-BA01.01!E23-BA01.01!E35</f>
        <v>1</v>
      </c>
    </row>
    <row r="105" spans="1:38" ht="54">
      <c r="A105" s="1068">
        <v>102</v>
      </c>
      <c r="B105" s="1069" t="s">
        <v>2465</v>
      </c>
      <c r="E105" s="1066">
        <f t="shared" si="1"/>
        <v>102</v>
      </c>
      <c r="F105" s="1066" t="b">
        <f>CA06.02!E27=OA05.02!D27-SI04.01!E9-SI04.01!E35-SI04.01!E61</f>
        <v>1</v>
      </c>
    </row>
    <row r="106" spans="1:38" ht="36">
      <c r="A106" s="1068">
        <v>103</v>
      </c>
      <c r="B106" s="1069" t="s">
        <v>2466</v>
      </c>
      <c r="E106" s="1066">
        <f t="shared" si="1"/>
        <v>103</v>
      </c>
      <c r="F106" s="1066" t="b">
        <f>CA06.02!D28=OA05.02!D28</f>
        <v>1</v>
      </c>
    </row>
    <row r="107" spans="1:38" ht="36">
      <c r="A107" s="1068">
        <v>104</v>
      </c>
      <c r="B107" s="1069" t="s">
        <v>2467</v>
      </c>
      <c r="E107" s="1066">
        <f t="shared" si="1"/>
        <v>104</v>
      </c>
      <c r="F107" s="1066" t="b">
        <f>LB08.01!I11&gt;BA01.01!D50+BA01.01!D61</f>
        <v>0</v>
      </c>
      <c r="M107" s="1072">
        <v>1</v>
      </c>
      <c r="N107" s="1072">
        <v>2</v>
      </c>
      <c r="O107" s="1072">
        <v>3</v>
      </c>
      <c r="P107" s="1072">
        <v>4</v>
      </c>
      <c r="Q107" s="1072">
        <v>5</v>
      </c>
      <c r="R107" s="1072">
        <v>6</v>
      </c>
      <c r="S107" s="1072">
        <v>7</v>
      </c>
      <c r="T107" s="1072">
        <v>8</v>
      </c>
      <c r="U107" s="1072">
        <v>9</v>
      </c>
      <c r="V107" s="1072">
        <v>10</v>
      </c>
      <c r="W107" s="1072">
        <v>11</v>
      </c>
      <c r="X107" s="1072">
        <v>12</v>
      </c>
      <c r="Y107" s="1072">
        <v>13</v>
      </c>
      <c r="Z107" s="1072">
        <v>14</v>
      </c>
      <c r="AA107" s="1072">
        <v>15</v>
      </c>
      <c r="AB107" s="1072">
        <v>16</v>
      </c>
      <c r="AC107" s="1072">
        <v>17</v>
      </c>
      <c r="AD107" s="1072">
        <v>18</v>
      </c>
      <c r="AE107" s="1072">
        <v>19</v>
      </c>
      <c r="AF107" s="1072">
        <v>20</v>
      </c>
      <c r="AG107" s="1072">
        <v>21</v>
      </c>
      <c r="AH107" s="1072">
        <v>22</v>
      </c>
      <c r="AI107" s="1072">
        <v>23</v>
      </c>
      <c r="AJ107" s="1072">
        <v>24</v>
      </c>
      <c r="AK107" s="1072">
        <v>25</v>
      </c>
      <c r="AL107" s="1072">
        <v>26</v>
      </c>
    </row>
    <row r="108" spans="1:38" ht="36">
      <c r="A108" s="1068">
        <v>105</v>
      </c>
      <c r="B108" s="1069" t="s">
        <v>2468</v>
      </c>
      <c r="E108" s="1066">
        <f t="shared" ref="E108:E171" si="2">E107+1</f>
        <v>105</v>
      </c>
      <c r="F108" s="1066" t="b">
        <f>DS11.01!K9&gt;BA01.01!D50+BA01.01!D61</f>
        <v>0</v>
      </c>
      <c r="M108" s="1072" t="s">
        <v>1456</v>
      </c>
      <c r="N108" s="1072" t="s">
        <v>1457</v>
      </c>
      <c r="O108" s="1072" t="s">
        <v>124</v>
      </c>
      <c r="P108" s="1072" t="s">
        <v>2586</v>
      </c>
      <c r="Q108" s="1072" t="s">
        <v>2587</v>
      </c>
      <c r="R108" s="1072" t="s">
        <v>2588</v>
      </c>
      <c r="S108" s="1072" t="s">
        <v>2589</v>
      </c>
      <c r="T108" s="1072" t="s">
        <v>2590</v>
      </c>
      <c r="U108" s="1072" t="s">
        <v>2591</v>
      </c>
      <c r="V108" s="1072" t="s">
        <v>2592</v>
      </c>
      <c r="W108" s="1072" t="s">
        <v>2593</v>
      </c>
      <c r="X108" s="1072" t="s">
        <v>2594</v>
      </c>
      <c r="Y108" s="1072" t="s">
        <v>2595</v>
      </c>
      <c r="Z108" s="1072" t="s">
        <v>2596</v>
      </c>
      <c r="AA108" s="1072" t="s">
        <v>2597</v>
      </c>
      <c r="AB108" s="1072" t="s">
        <v>2598</v>
      </c>
      <c r="AC108" s="1072" t="s">
        <v>2599</v>
      </c>
      <c r="AD108" s="1072" t="s">
        <v>2600</v>
      </c>
      <c r="AE108" s="1072" t="s">
        <v>2601</v>
      </c>
      <c r="AF108" s="1072" t="s">
        <v>419</v>
      </c>
      <c r="AG108" s="1072" t="s">
        <v>2602</v>
      </c>
      <c r="AH108" s="1072" t="s">
        <v>2603</v>
      </c>
      <c r="AI108" s="1072" t="s">
        <v>2604</v>
      </c>
      <c r="AJ108" s="1072" t="s">
        <v>2605</v>
      </c>
      <c r="AK108" s="1072" t="s">
        <v>2606</v>
      </c>
      <c r="AL108" s="1072" t="s">
        <v>2607</v>
      </c>
    </row>
    <row r="109" spans="1:38" ht="36">
      <c r="A109" s="1068">
        <v>106</v>
      </c>
      <c r="B109" s="1069" t="s">
        <v>2469</v>
      </c>
      <c r="E109" s="1066">
        <f t="shared" si="2"/>
        <v>106</v>
      </c>
      <c r="F109" s="1066" t="b">
        <f>DS11.01!D22=BA01.01!D51-DS11.01!E22</f>
        <v>1</v>
      </c>
    </row>
    <row r="110" spans="1:38" ht="36">
      <c r="A110" s="1068">
        <v>107</v>
      </c>
      <c r="B110" s="1069" t="s">
        <v>2470</v>
      </c>
      <c r="E110" s="1066">
        <f t="shared" si="2"/>
        <v>107</v>
      </c>
      <c r="F110" s="1066" t="b">
        <f>DS11.01!E22=BA01.01!E51</f>
        <v>1</v>
      </c>
    </row>
    <row r="111" spans="1:38" ht="36">
      <c r="A111" s="1068">
        <v>108</v>
      </c>
      <c r="B111" s="1069" t="s">
        <v>2471</v>
      </c>
      <c r="E111" s="1066">
        <f t="shared" si="2"/>
        <v>108</v>
      </c>
      <c r="F111" s="1066" t="b">
        <f>DS11.01!F22=BA01.01!D61-DS11.01!G22</f>
        <v>1</v>
      </c>
    </row>
    <row r="112" spans="1:38" ht="36">
      <c r="A112" s="1068">
        <v>109</v>
      </c>
      <c r="B112" s="1069" t="s">
        <v>2472</v>
      </c>
      <c r="E112" s="1066">
        <f t="shared" si="2"/>
        <v>109</v>
      </c>
      <c r="F112" s="1066" t="b">
        <f>DS11.01!G22=BA01.01!E61</f>
        <v>1</v>
      </c>
    </row>
    <row r="113" spans="1:6" ht="108">
      <c r="A113" s="1068">
        <v>110</v>
      </c>
      <c r="B113" s="1069" t="s">
        <v>2473</v>
      </c>
      <c r="E113" s="1066">
        <f t="shared" si="2"/>
        <v>110</v>
      </c>
      <c r="F113" t="b">
        <f>DS11.01!H22=BA01.01!D13+BA01.01!D38+BA01.01!D39+BA01.01!D47+BA01.01!D59+BA01.01!D69-BA01.01!E13-BA01.01!E38-BA01.01!E39-BA01.01!E47-BA01.01!E59-BA01.01!E69</f>
        <v>1</v>
      </c>
    </row>
    <row r="114" spans="1:6" ht="72">
      <c r="A114" s="1068">
        <v>111</v>
      </c>
      <c r="B114" s="1069" t="s">
        <v>2474</v>
      </c>
      <c r="E114" s="1066">
        <f t="shared" si="2"/>
        <v>111</v>
      </c>
      <c r="F114" t="b">
        <f>DS11.01!I22=BA01.01!E13+BA01.01!E38+BA01.01!E39+BA01.01!E47+BA01.01!E59+BA01.01!E69</f>
        <v>1</v>
      </c>
    </row>
    <row r="115" spans="1:6" ht="72">
      <c r="A115" s="1068">
        <v>112</v>
      </c>
      <c r="B115" s="1069" t="s">
        <v>2475</v>
      </c>
      <c r="E115" s="1066">
        <f t="shared" si="2"/>
        <v>112</v>
      </c>
      <c r="F115" s="1066" t="b">
        <f>DS11.01!J22=BO01.04!D7-BO01.04!E7-BO01.04!D25-BO01.04!D36-BO01.04!D37+BO01.04!E25</f>
        <v>1</v>
      </c>
    </row>
    <row r="116" spans="1:6" ht="54">
      <c r="A116" s="1068">
        <v>113</v>
      </c>
      <c r="B116" s="1069" t="s">
        <v>2476</v>
      </c>
      <c r="E116" s="1066">
        <f t="shared" si="2"/>
        <v>113</v>
      </c>
      <c r="F116" s="1066" t="b">
        <f>DS11.01!K22=BO01.04!E7-BO01.04!E25-BO01.04!E36-BO01.04!E37</f>
        <v>1</v>
      </c>
    </row>
    <row r="117" spans="1:6" ht="54">
      <c r="A117" s="1068">
        <v>114</v>
      </c>
      <c r="B117" s="1069" t="s">
        <v>2477</v>
      </c>
      <c r="E117" s="1066">
        <f t="shared" si="2"/>
        <v>114</v>
      </c>
      <c r="F117" s="1066" t="b">
        <f>DD11.02!D22=BL01.02!D30+BL01.02!D33-BL01.02!E30-BL01.02!E33</f>
        <v>1</v>
      </c>
    </row>
    <row r="118" spans="1:6" ht="36">
      <c r="A118" s="1068">
        <v>115</v>
      </c>
      <c r="B118" s="1069" t="s">
        <v>2478</v>
      </c>
      <c r="E118" s="1066">
        <f t="shared" si="2"/>
        <v>115</v>
      </c>
      <c r="F118" s="1066" t="b">
        <f>DD11.02!E22=BL01.02!E30+BL01.02!E33</f>
        <v>1</v>
      </c>
    </row>
    <row r="119" spans="1:6" ht="36">
      <c r="A119" s="1068">
        <v>116</v>
      </c>
      <c r="B119" s="1069" t="s">
        <v>2479</v>
      </c>
      <c r="E119" s="1066">
        <f t="shared" si="2"/>
        <v>116</v>
      </c>
      <c r="F119" s="1066" t="b">
        <f>DD11.02!F22=BL01.02!D31-BL01.02!E31</f>
        <v>1</v>
      </c>
    </row>
    <row r="120" spans="1:6" ht="36">
      <c r="A120" s="1068">
        <v>117</v>
      </c>
      <c r="B120" s="1069" t="s">
        <v>2480</v>
      </c>
      <c r="E120" s="1066">
        <f t="shared" si="2"/>
        <v>117</v>
      </c>
      <c r="F120" s="1066" t="b">
        <f>DD11.02!G22=BL01.02!E31</f>
        <v>1</v>
      </c>
    </row>
    <row r="121" spans="1:6" ht="36">
      <c r="A121" s="1068">
        <v>118</v>
      </c>
      <c r="B121" s="1069" t="s">
        <v>2481</v>
      </c>
      <c r="E121" s="1066">
        <f t="shared" si="2"/>
        <v>118</v>
      </c>
      <c r="F121" s="1066" t="b">
        <f>DD11.02!H22=BL01.02!D32-BL01.02!E32</f>
        <v>1</v>
      </c>
    </row>
    <row r="122" spans="1:6" ht="36">
      <c r="A122" s="1068">
        <v>119</v>
      </c>
      <c r="B122" s="1069" t="s">
        <v>2482</v>
      </c>
      <c r="E122" s="1066">
        <f t="shared" si="2"/>
        <v>119</v>
      </c>
      <c r="F122" s="1066" t="b">
        <f>DD11.02!I22=BL01.02!E32</f>
        <v>1</v>
      </c>
    </row>
    <row r="123" spans="1:6" ht="36">
      <c r="A123" s="1068">
        <v>120</v>
      </c>
      <c r="B123" s="1069" t="s">
        <v>2483</v>
      </c>
      <c r="E123" s="1066">
        <f t="shared" si="2"/>
        <v>120</v>
      </c>
      <c r="F123" s="1066" t="b">
        <f>GA12.01!L10=BA01.01!D10+BA01.01!D12</f>
        <v>1</v>
      </c>
    </row>
    <row r="124" spans="1:6" ht="36">
      <c r="A124" s="1068">
        <v>121</v>
      </c>
      <c r="B124" s="1069" t="s">
        <v>2484</v>
      </c>
      <c r="E124" s="1066">
        <f t="shared" si="2"/>
        <v>121</v>
      </c>
      <c r="F124" s="1066" t="b">
        <f>GA12.01!L11=BA01.01!E10+BA01.01!E12</f>
        <v>1</v>
      </c>
    </row>
    <row r="125" spans="1:6" ht="108">
      <c r="A125" s="1068">
        <v>122</v>
      </c>
      <c r="B125" s="1069" t="s">
        <v>2485</v>
      </c>
      <c r="E125" s="1066">
        <f t="shared" si="2"/>
        <v>122</v>
      </c>
      <c r="F125" s="1066" t="b">
        <f>GA12.01!L12=BA01.01!D13+BA01.01!D47+BA01.01!D88+BA01.01!D89-BA01.01!D17-BA01.01!D18-BA01.01!D23-BA01.01!D24-BA01.01!D29-BA01.01!D30-BA01.01!D35-BA01.01!D36</f>
        <v>1</v>
      </c>
    </row>
    <row r="126" spans="1:6" ht="108">
      <c r="A126" s="1068">
        <v>123</v>
      </c>
      <c r="B126" s="1069" t="s">
        <v>2486</v>
      </c>
      <c r="E126" s="1066">
        <f t="shared" si="2"/>
        <v>123</v>
      </c>
      <c r="F126" s="1066" t="b">
        <f>GA12.01!L13=BA01.01!E13+BA01.01!E47+BA01.01!E88+BA01.01!E89-BA01.01!E17-BA01.01!E18-BA01.01!E23-BA01.01!E24-BA01.01!E29-BA01.01!E30-BA01.01!E35-BA01.01!E36</f>
        <v>1</v>
      </c>
    </row>
    <row r="127" spans="1:6" ht="54">
      <c r="A127" s="1068">
        <v>124</v>
      </c>
      <c r="B127" s="1069" t="s">
        <v>2487</v>
      </c>
      <c r="E127" s="1066">
        <f t="shared" si="2"/>
        <v>124</v>
      </c>
      <c r="F127" s="1066" t="b">
        <f>GA12.01!L14=BA01.01!D17+BA01.01!D23+BA01.01!D29+BA01.01!D35</f>
        <v>1</v>
      </c>
    </row>
    <row r="128" spans="1:6" ht="54">
      <c r="A128" s="1068">
        <v>125</v>
      </c>
      <c r="B128" s="1069" t="s">
        <v>2488</v>
      </c>
      <c r="E128" s="1066">
        <f t="shared" si="2"/>
        <v>125</v>
      </c>
      <c r="F128" s="1066" t="b">
        <f>GA12.01!L15=BA01.01!E17+BA01.01!E23+BA01.01!E29+BA01.01!E35</f>
        <v>1</v>
      </c>
    </row>
    <row r="129" spans="1:9" ht="36">
      <c r="A129" s="1068">
        <v>126</v>
      </c>
      <c r="B129" s="1069" t="s">
        <v>2489</v>
      </c>
      <c r="E129" s="1066">
        <f t="shared" si="2"/>
        <v>126</v>
      </c>
      <c r="F129" s="1066" t="b">
        <f>GA12.01!L16=BA01.01!D38</f>
        <v>1</v>
      </c>
    </row>
    <row r="130" spans="1:9" ht="36">
      <c r="A130" s="1068">
        <v>127</v>
      </c>
      <c r="B130" s="1069" t="s">
        <v>2490</v>
      </c>
      <c r="E130" s="1066">
        <f t="shared" si="2"/>
        <v>127</v>
      </c>
      <c r="F130" s="1066" t="b">
        <f>GA12.01!L17=BA01.01!E38</f>
        <v>1</v>
      </c>
    </row>
    <row r="131" spans="1:9" ht="36">
      <c r="A131" s="1068">
        <v>128</v>
      </c>
      <c r="B131" s="1069" t="s">
        <v>2491</v>
      </c>
      <c r="E131" s="1066">
        <f t="shared" si="2"/>
        <v>128</v>
      </c>
      <c r="F131" s="1066" t="b">
        <f>GA12.01!L18=SI04.01!D9+SI04.01!D35+SI04.01!D61</f>
        <v>1</v>
      </c>
      <c r="H131" s="1072">
        <v>1</v>
      </c>
      <c r="I131" s="1072" t="s">
        <v>1456</v>
      </c>
    </row>
    <row r="132" spans="1:9" ht="36">
      <c r="A132" s="1068">
        <v>129</v>
      </c>
      <c r="B132" s="1069" t="s">
        <v>2492</v>
      </c>
      <c r="E132" s="1066">
        <f t="shared" si="2"/>
        <v>129</v>
      </c>
      <c r="F132" s="1066" t="b">
        <f>GA12.01!L19=SI04.01!E9+SI04.01!E35+SI04.01!E61</f>
        <v>1</v>
      </c>
      <c r="H132" s="1072">
        <v>2</v>
      </c>
      <c r="I132" s="1072" t="s">
        <v>1457</v>
      </c>
    </row>
    <row r="133" spans="1:9" ht="36">
      <c r="A133" s="1068">
        <v>130</v>
      </c>
      <c r="B133" s="1069" t="s">
        <v>2493</v>
      </c>
      <c r="E133" s="1066">
        <f t="shared" si="2"/>
        <v>130</v>
      </c>
      <c r="F133" s="1066" t="b">
        <f>GA12.01!L20=BA01.01!D50</f>
        <v>1</v>
      </c>
      <c r="H133" s="1072">
        <v>3</v>
      </c>
      <c r="I133" s="1072" t="s">
        <v>124</v>
      </c>
    </row>
    <row r="134" spans="1:9" ht="36">
      <c r="A134" s="1068">
        <v>131</v>
      </c>
      <c r="B134" s="1069" t="s">
        <v>2494</v>
      </c>
      <c r="E134" s="1066">
        <f t="shared" si="2"/>
        <v>131</v>
      </c>
      <c r="F134" s="1066" t="b">
        <f>GA12.01!L21=BA01.01!E50</f>
        <v>1</v>
      </c>
      <c r="H134" s="1072">
        <v>4</v>
      </c>
      <c r="I134" s="1072" t="s">
        <v>2586</v>
      </c>
    </row>
    <row r="135" spans="1:9" ht="36">
      <c r="A135" s="1068">
        <v>132</v>
      </c>
      <c r="B135" s="1069" t="s">
        <v>2495</v>
      </c>
      <c r="E135" s="1066">
        <f t="shared" si="2"/>
        <v>132</v>
      </c>
      <c r="F135" s="1066" t="b">
        <f>GA12.01!L22=BA01.01!D61</f>
        <v>1</v>
      </c>
      <c r="H135" s="1072">
        <v>5</v>
      </c>
      <c r="I135" s="1072" t="s">
        <v>2587</v>
      </c>
    </row>
    <row r="136" spans="1:9" ht="36">
      <c r="A136" s="1068">
        <v>133</v>
      </c>
      <c r="B136" s="1069" t="s">
        <v>2496</v>
      </c>
      <c r="E136" s="1066">
        <f t="shared" si="2"/>
        <v>133</v>
      </c>
      <c r="F136" s="1066" t="b">
        <f>GA12.01!L23=BA01.01!E61</f>
        <v>1</v>
      </c>
      <c r="H136" s="1072">
        <v>6</v>
      </c>
      <c r="I136" s="1072" t="s">
        <v>2588</v>
      </c>
    </row>
    <row r="137" spans="1:9" ht="54">
      <c r="A137" s="1068">
        <v>134</v>
      </c>
      <c r="B137" s="1069" t="s">
        <v>2497</v>
      </c>
      <c r="E137" s="1066">
        <f t="shared" si="2"/>
        <v>134</v>
      </c>
      <c r="F137" s="1066" t="b">
        <f>GA12.01!L24=BA01.01!D18+BA01.01!D24+BA01.01!D30+BA01.01!D36</f>
        <v>1</v>
      </c>
      <c r="H137" s="1072">
        <v>7</v>
      </c>
      <c r="I137" s="1072" t="s">
        <v>2589</v>
      </c>
    </row>
    <row r="138" spans="1:9" ht="54">
      <c r="A138" s="1068">
        <v>135</v>
      </c>
      <c r="B138" s="1069" t="s">
        <v>2498</v>
      </c>
      <c r="E138" s="1066">
        <f t="shared" si="2"/>
        <v>135</v>
      </c>
      <c r="F138" s="1066" t="b">
        <f>GA12.01!L25=BA01.01!E18+BA01.01!E24+BA01.01!E30+BA01.01!E36</f>
        <v>1</v>
      </c>
      <c r="H138" s="1072">
        <v>8</v>
      </c>
      <c r="I138" s="1072" t="s">
        <v>2590</v>
      </c>
    </row>
    <row r="139" spans="1:9" ht="36">
      <c r="A139" s="1068">
        <v>136</v>
      </c>
      <c r="B139" s="1069" t="s">
        <v>2499</v>
      </c>
      <c r="E139" s="1066">
        <f t="shared" si="2"/>
        <v>136</v>
      </c>
      <c r="F139" s="1066" t="b">
        <f>GA12.02!K10=BL01.02!D7</f>
        <v>1</v>
      </c>
      <c r="H139" s="1072">
        <v>9</v>
      </c>
      <c r="I139" s="1072" t="s">
        <v>2591</v>
      </c>
    </row>
    <row r="140" spans="1:9" ht="36">
      <c r="A140" s="1068">
        <v>137</v>
      </c>
      <c r="B140" s="1069" t="s">
        <v>2500</v>
      </c>
      <c r="E140" s="1066">
        <f t="shared" si="2"/>
        <v>137</v>
      </c>
      <c r="F140" s="1066" t="b">
        <f>GA12.02!K11=BL01.02!E7</f>
        <v>1</v>
      </c>
      <c r="H140" s="1072">
        <v>10</v>
      </c>
      <c r="I140" s="1072" t="s">
        <v>2592</v>
      </c>
    </row>
    <row r="141" spans="1:9" ht="90">
      <c r="A141" s="1068">
        <v>138</v>
      </c>
      <c r="B141" s="1069" t="s">
        <v>2501</v>
      </c>
      <c r="E141" s="1066">
        <f t="shared" si="2"/>
        <v>138</v>
      </c>
      <c r="F141" s="1066" t="b">
        <f>GA12.02!K12=BL01.02!D8+BL01.02!D26+BL01.02!D38+BL01.02!D39-BL01.02!D12-BL01.02!D16-BL01.02!D20-BL01.02!D24</f>
        <v>1</v>
      </c>
      <c r="H141" s="1072">
        <v>11</v>
      </c>
      <c r="I141" s="1072" t="s">
        <v>2593</v>
      </c>
    </row>
    <row r="142" spans="1:9" ht="90">
      <c r="A142" s="1068">
        <v>139</v>
      </c>
      <c r="B142" s="1069" t="s">
        <v>2502</v>
      </c>
      <c r="E142" s="1066">
        <f t="shared" si="2"/>
        <v>139</v>
      </c>
      <c r="F142" s="1066" t="b">
        <f>GA12.02!K13=BL01.02!E8+BL01.02!E26+BL01.02!E38+BL01.02!E39-BL01.02!E12-BL01.02!E16-BL01.02!E20-BL01.02!E24</f>
        <v>1</v>
      </c>
      <c r="H142" s="1072">
        <v>12</v>
      </c>
      <c r="I142" s="1072" t="s">
        <v>2594</v>
      </c>
    </row>
    <row r="143" spans="1:9" ht="54">
      <c r="A143" s="1068">
        <v>140</v>
      </c>
      <c r="B143" s="1069" t="s">
        <v>2503</v>
      </c>
      <c r="E143" s="1066">
        <f t="shared" si="2"/>
        <v>140</v>
      </c>
      <c r="F143" s="1066" t="b">
        <f>GA12.02!K14=BL01.02!D12+BL01.02!D16+BL01.02!D20+BL01.02!D24</f>
        <v>1</v>
      </c>
      <c r="H143" s="1072">
        <v>13</v>
      </c>
      <c r="I143" s="1072" t="s">
        <v>2595</v>
      </c>
    </row>
    <row r="144" spans="1:9" ht="54">
      <c r="A144" s="1068">
        <v>141</v>
      </c>
      <c r="B144" s="1069" t="s">
        <v>2504</v>
      </c>
      <c r="E144" s="1066">
        <f t="shared" si="2"/>
        <v>141</v>
      </c>
      <c r="F144" s="1066" t="b">
        <f>GA12.02!K15=BL01.02!E12+BL01.02!E16+BL01.02!E20+BL01.02!E24</f>
        <v>1</v>
      </c>
      <c r="H144" s="1072">
        <v>14</v>
      </c>
      <c r="I144" s="1072" t="s">
        <v>2596</v>
      </c>
    </row>
    <row r="145" spans="1:9" ht="36">
      <c r="A145" s="1068">
        <v>142</v>
      </c>
      <c r="B145" s="1069" t="s">
        <v>2505</v>
      </c>
      <c r="E145" s="1066">
        <f t="shared" si="2"/>
        <v>142</v>
      </c>
      <c r="F145" s="1066" t="b">
        <f>GA12.02!K16=BL01.02!D25</f>
        <v>1</v>
      </c>
      <c r="H145" s="1072">
        <v>15</v>
      </c>
      <c r="I145" s="1072" t="s">
        <v>2597</v>
      </c>
    </row>
    <row r="146" spans="1:9" ht="36">
      <c r="A146" s="1068">
        <v>143</v>
      </c>
      <c r="B146" s="1069" t="s">
        <v>2506</v>
      </c>
      <c r="E146" s="1066">
        <f t="shared" si="2"/>
        <v>143</v>
      </c>
      <c r="F146" s="1066" t="b">
        <f>GA12.02!K17=BL01.02!E25</f>
        <v>1</v>
      </c>
      <c r="H146" s="1072">
        <v>16</v>
      </c>
      <c r="I146" s="1072" t="s">
        <v>2598</v>
      </c>
    </row>
    <row r="147" spans="1:9" ht="36">
      <c r="A147" s="1068">
        <v>144</v>
      </c>
      <c r="B147" s="1069" t="s">
        <v>2507</v>
      </c>
      <c r="E147" s="1066">
        <f t="shared" si="2"/>
        <v>144</v>
      </c>
      <c r="F147" s="1066" t="b">
        <f>GA12.02!K18=BL01.02!D34</f>
        <v>1</v>
      </c>
      <c r="H147" s="1072">
        <v>17</v>
      </c>
      <c r="I147" s="1072" t="s">
        <v>2599</v>
      </c>
    </row>
    <row r="148" spans="1:9" ht="36">
      <c r="A148" s="1068">
        <v>145</v>
      </c>
      <c r="B148" s="1069" t="s">
        <v>2508</v>
      </c>
      <c r="E148" s="1066">
        <f t="shared" si="2"/>
        <v>145</v>
      </c>
      <c r="F148" s="1066" t="b">
        <f>GA12.02!K19=BL01.02!E34</f>
        <v>1</v>
      </c>
      <c r="H148" s="1072">
        <v>18</v>
      </c>
      <c r="I148" s="1072" t="s">
        <v>2600</v>
      </c>
    </row>
    <row r="149" spans="1:9" ht="36">
      <c r="A149" s="1068">
        <v>146</v>
      </c>
      <c r="B149" s="1069" t="s">
        <v>2509</v>
      </c>
      <c r="E149" s="1066">
        <f t="shared" si="2"/>
        <v>146</v>
      </c>
      <c r="F149" s="1066" t="b">
        <f>GA12.02!K20=BL01.02!D29+BL01.02!D33</f>
        <v>1</v>
      </c>
      <c r="H149" s="1072">
        <v>19</v>
      </c>
      <c r="I149" s="1072" t="s">
        <v>2601</v>
      </c>
    </row>
    <row r="150" spans="1:9" ht="36">
      <c r="A150" s="1068">
        <v>147</v>
      </c>
      <c r="B150" s="1069" t="s">
        <v>2510</v>
      </c>
      <c r="E150" s="1066">
        <f t="shared" si="2"/>
        <v>147</v>
      </c>
      <c r="F150" s="1066" t="b">
        <f>GA12.02!K21=BL01.02!E29+BL01.02!E33</f>
        <v>1</v>
      </c>
      <c r="H150" s="1072">
        <v>20</v>
      </c>
      <c r="I150" s="1072" t="s">
        <v>419</v>
      </c>
    </row>
    <row r="151" spans="1:9" ht="36">
      <c r="A151" s="1068">
        <v>148</v>
      </c>
      <c r="B151" s="1069" t="s">
        <v>2511</v>
      </c>
      <c r="E151" s="1066">
        <f t="shared" si="2"/>
        <v>148</v>
      </c>
      <c r="F151" s="1066" t="b">
        <f>GA12.02!K22=BL01.02!D35</f>
        <v>1</v>
      </c>
      <c r="H151" s="1072">
        <v>21</v>
      </c>
      <c r="I151" s="1072" t="s">
        <v>2602</v>
      </c>
    </row>
    <row r="152" spans="1:9" ht="36">
      <c r="A152" s="1068">
        <v>149</v>
      </c>
      <c r="B152" s="1069" t="s">
        <v>2512</v>
      </c>
      <c r="E152" s="1066">
        <f t="shared" si="2"/>
        <v>149</v>
      </c>
      <c r="F152" s="1066" t="b">
        <f>GA12.02!K23=BL01.02!E35</f>
        <v>1</v>
      </c>
      <c r="H152" s="1072">
        <v>22</v>
      </c>
      <c r="I152" s="1072" t="s">
        <v>2603</v>
      </c>
    </row>
    <row r="153" spans="1:9" ht="36">
      <c r="A153" s="1068">
        <v>150</v>
      </c>
      <c r="B153" s="1069" t="s">
        <v>2513</v>
      </c>
      <c r="E153" s="1066">
        <f t="shared" si="2"/>
        <v>150</v>
      </c>
      <c r="F153" s="1066" t="b">
        <f>RM12.03!L10=GA12.01!L10</f>
        <v>1</v>
      </c>
      <c r="H153" s="1072">
        <v>23</v>
      </c>
      <c r="I153" s="1072" t="s">
        <v>2604</v>
      </c>
    </row>
    <row r="154" spans="1:9" ht="36">
      <c r="A154" s="1068">
        <v>151</v>
      </c>
      <c r="B154" s="1069" t="s">
        <v>2514</v>
      </c>
      <c r="E154" s="1066">
        <f t="shared" si="2"/>
        <v>151</v>
      </c>
      <c r="F154" s="1066" t="b">
        <f>RM12.03!L11=GA12.01!L11</f>
        <v>1</v>
      </c>
      <c r="H154" s="1072">
        <v>24</v>
      </c>
      <c r="I154" s="1072" t="s">
        <v>2605</v>
      </c>
    </row>
    <row r="155" spans="1:9" ht="36">
      <c r="A155" s="1068">
        <v>152</v>
      </c>
      <c r="B155" s="1069" t="s">
        <v>2515</v>
      </c>
      <c r="E155" s="1066">
        <f t="shared" si="2"/>
        <v>152</v>
      </c>
      <c r="F155" s="1066" t="b">
        <f>RM12.03!L12=GA12.01!L12</f>
        <v>1</v>
      </c>
      <c r="H155" s="1072">
        <v>25</v>
      </c>
      <c r="I155" s="1072" t="s">
        <v>2606</v>
      </c>
    </row>
    <row r="156" spans="1:9" ht="36">
      <c r="A156" s="1068">
        <v>153</v>
      </c>
      <c r="B156" s="1069" t="s">
        <v>2516</v>
      </c>
      <c r="E156" s="1066">
        <f t="shared" si="2"/>
        <v>153</v>
      </c>
      <c r="F156" s="1066" t="b">
        <f>RM12.03!L13=GA12.01!L13</f>
        <v>1</v>
      </c>
      <c r="H156" s="1072">
        <v>26</v>
      </c>
      <c r="I156" s="1072" t="s">
        <v>2607</v>
      </c>
    </row>
    <row r="157" spans="1:9" ht="36">
      <c r="A157" s="1068">
        <v>154</v>
      </c>
      <c r="B157" s="1069" t="s">
        <v>2517</v>
      </c>
      <c r="E157" s="1066">
        <f t="shared" si="2"/>
        <v>154</v>
      </c>
      <c r="F157" s="1066" t="b">
        <f>RM12.03!L14=GA12.01!L14</f>
        <v>1</v>
      </c>
    </row>
    <row r="158" spans="1:9" ht="36">
      <c r="A158" s="1068">
        <v>155</v>
      </c>
      <c r="B158" s="1069" t="s">
        <v>2518</v>
      </c>
      <c r="E158" s="1066">
        <f t="shared" si="2"/>
        <v>155</v>
      </c>
      <c r="F158" s="1066" t="b">
        <f>RM12.03!L15=GA12.01!L15</f>
        <v>1</v>
      </c>
    </row>
    <row r="159" spans="1:9" ht="36">
      <c r="A159" s="1068">
        <v>156</v>
      </c>
      <c r="B159" s="1069" t="s">
        <v>2519</v>
      </c>
      <c r="E159" s="1066">
        <f t="shared" si="2"/>
        <v>156</v>
      </c>
      <c r="F159" s="1066" t="b">
        <f>RM12.03!L16=GA12.01!L16</f>
        <v>1</v>
      </c>
    </row>
    <row r="160" spans="1:9" ht="36">
      <c r="A160" s="1068">
        <v>157</v>
      </c>
      <c r="B160" s="1069" t="s">
        <v>2520</v>
      </c>
      <c r="E160" s="1066">
        <f t="shared" si="2"/>
        <v>157</v>
      </c>
      <c r="F160" s="1066" t="b">
        <f>RM12.03!L17=GA12.01!L17</f>
        <v>1</v>
      </c>
    </row>
    <row r="161" spans="1:6" ht="36">
      <c r="A161" s="1068">
        <v>158</v>
      </c>
      <c r="B161" s="1069" t="s">
        <v>2521</v>
      </c>
      <c r="E161" s="1066">
        <f t="shared" si="2"/>
        <v>158</v>
      </c>
      <c r="F161" s="1066" t="b">
        <f>RM12.03!L18=GA12.01!L18</f>
        <v>1</v>
      </c>
    </row>
    <row r="162" spans="1:6" ht="36">
      <c r="A162" s="1068">
        <v>159</v>
      </c>
      <c r="B162" s="1069" t="s">
        <v>2522</v>
      </c>
      <c r="E162" s="1066">
        <f t="shared" si="2"/>
        <v>159</v>
      </c>
      <c r="F162" s="1066" t="b">
        <f>RM12.03!L19=GA12.01!L19</f>
        <v>1</v>
      </c>
    </row>
    <row r="163" spans="1:6" ht="36">
      <c r="A163" s="1068">
        <v>160</v>
      </c>
      <c r="B163" s="1069" t="s">
        <v>2523</v>
      </c>
      <c r="E163" s="1066">
        <f t="shared" si="2"/>
        <v>160</v>
      </c>
      <c r="F163" s="1066" t="b">
        <f>RM12.03!L20=GA12.01!L20</f>
        <v>1</v>
      </c>
    </row>
    <row r="164" spans="1:6" ht="36">
      <c r="A164" s="1068">
        <v>161</v>
      </c>
      <c r="B164" s="1069" t="s">
        <v>2524</v>
      </c>
      <c r="E164" s="1066">
        <f t="shared" si="2"/>
        <v>161</v>
      </c>
      <c r="F164" s="1066" t="b">
        <f>RM12.03!L21=GA12.01!L21</f>
        <v>1</v>
      </c>
    </row>
    <row r="165" spans="1:6" ht="36">
      <c r="A165" s="1068">
        <v>162</v>
      </c>
      <c r="B165" s="1069" t="s">
        <v>2525</v>
      </c>
      <c r="E165" s="1066">
        <f t="shared" si="2"/>
        <v>162</v>
      </c>
      <c r="F165" s="1066" t="b">
        <f>RM12.03!L22=GA12.01!L22</f>
        <v>1</v>
      </c>
    </row>
    <row r="166" spans="1:6" ht="36">
      <c r="A166" s="1068">
        <v>163</v>
      </c>
      <c r="B166" s="1069" t="s">
        <v>2526</v>
      </c>
      <c r="E166" s="1066">
        <f t="shared" si="2"/>
        <v>163</v>
      </c>
      <c r="F166" s="1066" t="b">
        <f>RM12.03!L23=GA12.01!L23</f>
        <v>1</v>
      </c>
    </row>
    <row r="167" spans="1:6" ht="36">
      <c r="A167" s="1068">
        <v>164</v>
      </c>
      <c r="B167" s="1069" t="s">
        <v>2527</v>
      </c>
      <c r="E167" s="1066">
        <f t="shared" si="2"/>
        <v>164</v>
      </c>
      <c r="F167" s="1066" t="b">
        <f>RM12.04!K10=GA12.02!K10</f>
        <v>1</v>
      </c>
    </row>
    <row r="168" spans="1:6" ht="36">
      <c r="A168" s="1068">
        <v>165</v>
      </c>
      <c r="B168" s="1069" t="s">
        <v>2528</v>
      </c>
      <c r="E168" s="1066">
        <f t="shared" si="2"/>
        <v>165</v>
      </c>
      <c r="F168" s="1066" t="b">
        <f>RM12.04!K11=GA12.02!K11</f>
        <v>1</v>
      </c>
    </row>
    <row r="169" spans="1:6" ht="36">
      <c r="A169" s="1068">
        <v>166</v>
      </c>
      <c r="B169" s="1069" t="s">
        <v>2529</v>
      </c>
      <c r="E169" s="1066">
        <f t="shared" si="2"/>
        <v>166</v>
      </c>
      <c r="F169" s="1066" t="b">
        <f>RM12.04!K12=GA12.02!K12</f>
        <v>1</v>
      </c>
    </row>
    <row r="170" spans="1:6" ht="36">
      <c r="A170" s="1068">
        <v>167</v>
      </c>
      <c r="B170" s="1069" t="s">
        <v>2530</v>
      </c>
      <c r="E170" s="1066">
        <f t="shared" si="2"/>
        <v>167</v>
      </c>
      <c r="F170" s="1066" t="b">
        <f>RM12.04!K13=GA12.02!K13</f>
        <v>1</v>
      </c>
    </row>
    <row r="171" spans="1:6" ht="36">
      <c r="A171" s="1068">
        <v>168</v>
      </c>
      <c r="B171" s="1069" t="s">
        <v>2531</v>
      </c>
      <c r="E171" s="1066">
        <f t="shared" si="2"/>
        <v>168</v>
      </c>
      <c r="F171" s="1066" t="b">
        <f>RM12.04!K14=GA12.02!K14</f>
        <v>1</v>
      </c>
    </row>
    <row r="172" spans="1:6" ht="36">
      <c r="A172" s="1068">
        <v>169</v>
      </c>
      <c r="B172" s="1069" t="s">
        <v>2532</v>
      </c>
      <c r="E172" s="1066">
        <f t="shared" ref="E172:E222" si="3">E171+1</f>
        <v>169</v>
      </c>
      <c r="F172" s="1066" t="b">
        <f>RM12.04!K15=GA12.02!K15</f>
        <v>1</v>
      </c>
    </row>
    <row r="173" spans="1:6" ht="36">
      <c r="A173" s="1068">
        <v>170</v>
      </c>
      <c r="B173" s="1069" t="s">
        <v>2533</v>
      </c>
      <c r="E173" s="1066">
        <f t="shared" si="3"/>
        <v>170</v>
      </c>
      <c r="F173" s="1066" t="b">
        <f>RM12.04!K16=GA12.02!K16</f>
        <v>1</v>
      </c>
    </row>
    <row r="174" spans="1:6" ht="36">
      <c r="A174" s="1068">
        <v>171</v>
      </c>
      <c r="B174" s="1069" t="s">
        <v>2534</v>
      </c>
      <c r="E174" s="1066">
        <f t="shared" si="3"/>
        <v>171</v>
      </c>
      <c r="F174" s="1066" t="b">
        <f>RM12.04!K17=GA12.02!K17</f>
        <v>1</v>
      </c>
    </row>
    <row r="175" spans="1:6" ht="36">
      <c r="A175" s="1068">
        <v>172</v>
      </c>
      <c r="B175" s="1069" t="s">
        <v>2535</v>
      </c>
      <c r="E175" s="1066">
        <f t="shared" si="3"/>
        <v>172</v>
      </c>
      <c r="F175" s="1066" t="b">
        <f>RM12.04!K18=GA12.02!K18</f>
        <v>1</v>
      </c>
    </row>
    <row r="176" spans="1:6" ht="36">
      <c r="A176" s="1068">
        <v>173</v>
      </c>
      <c r="B176" s="1069" t="s">
        <v>2536</v>
      </c>
      <c r="E176" s="1066">
        <f t="shared" si="3"/>
        <v>173</v>
      </c>
      <c r="F176" s="1066" t="b">
        <f>RM12.04!K19=GA12.02!K19</f>
        <v>1</v>
      </c>
    </row>
    <row r="177" spans="1:6" ht="36">
      <c r="A177" s="1068">
        <v>174</v>
      </c>
      <c r="B177" s="1069" t="s">
        <v>2537</v>
      </c>
      <c r="E177" s="1066">
        <f t="shared" si="3"/>
        <v>174</v>
      </c>
      <c r="F177" s="1066" t="b">
        <f>RM12.04!K20=GA12.02!K20</f>
        <v>1</v>
      </c>
    </row>
    <row r="178" spans="1:6" ht="36">
      <c r="A178" s="1068">
        <v>175</v>
      </c>
      <c r="B178" s="1069" t="s">
        <v>2538</v>
      </c>
      <c r="E178" s="1066">
        <f t="shared" si="3"/>
        <v>175</v>
      </c>
      <c r="F178" s="1066" t="b">
        <f>RM12.04!K21=GA12.02!K21</f>
        <v>1</v>
      </c>
    </row>
    <row r="179" spans="1:6" ht="36">
      <c r="A179" s="1068">
        <v>176</v>
      </c>
      <c r="B179" s="1069" t="s">
        <v>2539</v>
      </c>
      <c r="E179" s="1066">
        <f t="shared" si="3"/>
        <v>176</v>
      </c>
      <c r="F179" s="1066" t="b">
        <f>RM12.04!K22=GA12.02!K22</f>
        <v>1</v>
      </c>
    </row>
    <row r="180" spans="1:6" ht="36">
      <c r="A180" s="1068">
        <v>177</v>
      </c>
      <c r="B180" s="1069" t="s">
        <v>2540</v>
      </c>
      <c r="E180" s="1066">
        <f t="shared" si="3"/>
        <v>177</v>
      </c>
      <c r="F180" s="1066" t="b">
        <f>RM12.04!K23=GA12.02!K23</f>
        <v>1</v>
      </c>
    </row>
    <row r="181" spans="1:6" ht="36">
      <c r="A181" s="1068">
        <v>178</v>
      </c>
      <c r="B181" s="1069" t="s">
        <v>2541</v>
      </c>
      <c r="E181" s="1066">
        <f t="shared" si="3"/>
        <v>178</v>
      </c>
      <c r="F181" s="1066" t="b">
        <f>DA13.01!I23=BL01.02!D30-BL01.02!E30</f>
        <v>1</v>
      </c>
    </row>
    <row r="182" spans="1:6" ht="36">
      <c r="A182" s="1068">
        <v>179</v>
      </c>
      <c r="B182" s="1069" t="s">
        <v>2542</v>
      </c>
      <c r="E182" s="1066">
        <f t="shared" si="3"/>
        <v>179</v>
      </c>
      <c r="F182" s="1066" t="b">
        <f>DA13.01!I43=BL01.02!E30</f>
        <v>1</v>
      </c>
    </row>
    <row r="183" spans="1:6" ht="36">
      <c r="A183" s="1068">
        <v>180</v>
      </c>
      <c r="B183" s="1069" t="s">
        <v>2543</v>
      </c>
      <c r="E183" s="1066">
        <f t="shared" si="3"/>
        <v>180</v>
      </c>
      <c r="F183" s="1066" t="b">
        <f>DA13.03!I23=BL01.02!D32-BL01.02!E32</f>
        <v>1</v>
      </c>
    </row>
    <row r="184" spans="1:6" ht="36">
      <c r="A184" s="1068">
        <v>181</v>
      </c>
      <c r="B184" s="1069" t="s">
        <v>2544</v>
      </c>
      <c r="E184" s="1066">
        <f t="shared" si="3"/>
        <v>181</v>
      </c>
      <c r="F184" s="1066" t="b">
        <f>DA13.03!I43=BL01.02!E32</f>
        <v>1</v>
      </c>
    </row>
    <row r="185" spans="1:6" ht="36">
      <c r="A185" s="1068">
        <v>182</v>
      </c>
      <c r="B185" s="1069" t="s">
        <v>2545</v>
      </c>
      <c r="E185" s="1066">
        <f t="shared" si="3"/>
        <v>182</v>
      </c>
      <c r="F185" s="1066" t="b">
        <f>DA13.05!I23=BL01.02!D31-BL01.02!E31</f>
        <v>0</v>
      </c>
    </row>
    <row r="186" spans="1:6" ht="36">
      <c r="A186" s="1068">
        <v>183</v>
      </c>
      <c r="B186" s="1069" t="s">
        <v>2546</v>
      </c>
      <c r="E186" s="1066">
        <f t="shared" si="3"/>
        <v>183</v>
      </c>
      <c r="F186" s="1066" t="b">
        <f>DA13.05!I43=BL01.02!E31</f>
        <v>1</v>
      </c>
    </row>
    <row r="187" spans="1:6" ht="36">
      <c r="A187" s="1068">
        <v>184</v>
      </c>
      <c r="B187" s="1069" t="s">
        <v>2547</v>
      </c>
      <c r="E187" s="1066">
        <f t="shared" si="3"/>
        <v>184</v>
      </c>
      <c r="F187" s="1066" t="b">
        <f>CA15.01!D7=BA01.01!D9</f>
        <v>1</v>
      </c>
    </row>
    <row r="188" spans="1:6" ht="36">
      <c r="A188" s="1068">
        <v>185</v>
      </c>
      <c r="B188" s="1069" t="s">
        <v>2548</v>
      </c>
      <c r="E188" s="1066">
        <f t="shared" si="3"/>
        <v>185</v>
      </c>
      <c r="F188" s="1066" t="b">
        <f>CA15.01!D8=BA01.01!D7</f>
        <v>1</v>
      </c>
    </row>
    <row r="189" spans="1:6" ht="36">
      <c r="A189" s="1068">
        <v>186</v>
      </c>
      <c r="B189" s="1069" t="s">
        <v>2549</v>
      </c>
      <c r="E189" s="1066">
        <f t="shared" si="3"/>
        <v>186</v>
      </c>
      <c r="F189" s="1066" t="b">
        <f>CA15.01!D9=BA01.01!D8</f>
        <v>1</v>
      </c>
    </row>
    <row r="190" spans="1:6" ht="54">
      <c r="A190" s="1068">
        <v>187</v>
      </c>
      <c r="B190" s="1069" t="s">
        <v>2550</v>
      </c>
      <c r="E190" s="1066">
        <f t="shared" si="3"/>
        <v>187</v>
      </c>
      <c r="F190" s="1066" t="b">
        <f>CA15.01!D10=BA01.01!D26+BA01.01!D49-CA15.01!D20</f>
        <v>1</v>
      </c>
    </row>
    <row r="191" spans="1:6" ht="36">
      <c r="A191" s="1068">
        <v>188</v>
      </c>
      <c r="B191" s="1069" t="s">
        <v>2551</v>
      </c>
      <c r="E191" s="1066">
        <f t="shared" si="3"/>
        <v>188</v>
      </c>
      <c r="F191" s="1066" t="b">
        <f>CA15.01!D15=BA01.01!D14+BA01.01!D48</f>
        <v>1</v>
      </c>
    </row>
    <row r="192" spans="1:6" ht="36">
      <c r="A192" s="1068">
        <v>189</v>
      </c>
      <c r="B192" s="1069" t="s">
        <v>2552</v>
      </c>
      <c r="E192" s="1066">
        <f t="shared" si="3"/>
        <v>189</v>
      </c>
      <c r="F192" s="1066" t="b">
        <f>CA15.01!D19=BA01.01!D48</f>
        <v>1</v>
      </c>
    </row>
    <row r="193" spans="1:6" ht="36">
      <c r="A193" s="1068">
        <v>190</v>
      </c>
      <c r="B193" s="1069" t="s">
        <v>2553</v>
      </c>
      <c r="E193" s="1066">
        <f t="shared" si="3"/>
        <v>190</v>
      </c>
      <c r="F193" s="1066" t="b">
        <f>CA15.01!D25=BA01.01!D38</f>
        <v>1</v>
      </c>
    </row>
    <row r="194" spans="1:6" ht="36">
      <c r="A194" s="1068">
        <v>191</v>
      </c>
      <c r="B194" s="1069" t="s">
        <v>2554</v>
      </c>
      <c r="E194" s="1066">
        <f t="shared" si="3"/>
        <v>191</v>
      </c>
      <c r="F194" s="1066" t="b">
        <f>CA15.02!D7=BA01.01!D40+BA01.01!D70</f>
        <v>1</v>
      </c>
    </row>
    <row r="195" spans="1:6" ht="36">
      <c r="A195" s="1068">
        <v>192</v>
      </c>
      <c r="B195" s="1069" t="s">
        <v>2555</v>
      </c>
      <c r="E195" s="1066">
        <f t="shared" si="3"/>
        <v>192</v>
      </c>
      <c r="F195" s="1066" t="b">
        <f>CA15.02!D8=BA01.01!D43+BA01.01!D73</f>
        <v>1</v>
      </c>
    </row>
    <row r="196" spans="1:6" ht="72">
      <c r="A196" s="1068">
        <v>193</v>
      </c>
      <c r="B196" s="1069" t="s">
        <v>2556</v>
      </c>
      <c r="E196" s="1066">
        <f t="shared" si="3"/>
        <v>193</v>
      </c>
      <c r="F196" s="1066" t="b">
        <f>CA15.02!D9=SI04.01!D13+SI04.01!D26+SI04.01!D39+SI04.01!D52+SI04.01!D65+SI04.01!D78</f>
        <v>1</v>
      </c>
    </row>
    <row r="197" spans="1:6" ht="36">
      <c r="A197" s="1068">
        <v>194</v>
      </c>
      <c r="B197" s="1069" t="s">
        <v>2557</v>
      </c>
      <c r="E197" s="1066">
        <f t="shared" si="3"/>
        <v>194</v>
      </c>
      <c r="F197" s="1066" t="b">
        <f>CA15.02!D10=SI04.01!D16+SI04.01!D42+SI04.01!D68</f>
        <v>1</v>
      </c>
    </row>
    <row r="198" spans="1:6" ht="54">
      <c r="A198" s="1068">
        <v>195</v>
      </c>
      <c r="B198" s="1069" t="s">
        <v>2558</v>
      </c>
      <c r="E198" s="1066">
        <f t="shared" si="3"/>
        <v>195</v>
      </c>
      <c r="F198" s="1066" t="b">
        <f>CA15.02!D11=SI04.01!D21+SI04.01!D47+SI04.01!D73-CA15.02!D13</f>
        <v>1</v>
      </c>
    </row>
    <row r="199" spans="1:6" ht="36">
      <c r="A199" s="1068">
        <v>196</v>
      </c>
      <c r="B199" s="1069" t="s">
        <v>2559</v>
      </c>
      <c r="E199" s="1066">
        <f t="shared" si="3"/>
        <v>196</v>
      </c>
      <c r="F199" s="1066" t="b">
        <f>CA15.02!D12=SI04.01!D20+SI04.01!D46+SI04.01!D72</f>
        <v>1</v>
      </c>
    </row>
    <row r="200" spans="1:6" ht="36">
      <c r="A200" s="1068">
        <v>197</v>
      </c>
      <c r="B200" s="1069" t="s">
        <v>2560</v>
      </c>
      <c r="E200" s="1066">
        <f t="shared" si="3"/>
        <v>197</v>
      </c>
      <c r="F200" s="1066" t="b">
        <f>CA15.02!D14=SI04.01!D14+SI04.01!D40+SI04.01!D66</f>
        <v>1</v>
      </c>
    </row>
    <row r="201" spans="1:6" ht="36">
      <c r="A201" s="1068">
        <v>198</v>
      </c>
      <c r="B201" s="1069" t="s">
        <v>2561</v>
      </c>
      <c r="E201" s="1066">
        <f t="shared" si="3"/>
        <v>198</v>
      </c>
      <c r="F201" s="1066" t="b">
        <f>CA15.02!D15=SI04.01!D15+SI04.01!D41+SI04.01!D67</f>
        <v>1</v>
      </c>
    </row>
    <row r="202" spans="1:6" ht="36">
      <c r="A202" s="1068">
        <v>199</v>
      </c>
      <c r="B202" s="1069" t="s">
        <v>2562</v>
      </c>
      <c r="E202" s="1066">
        <f t="shared" si="3"/>
        <v>199</v>
      </c>
      <c r="F202" s="1066" t="b">
        <f>CA15.02!D16=SI04.01!D22+SI04.01!D48+SI04.01!D74</f>
        <v>1</v>
      </c>
    </row>
    <row r="203" spans="1:6" ht="36">
      <c r="A203" s="1068">
        <v>200</v>
      </c>
      <c r="B203" s="1069" t="s">
        <v>2563</v>
      </c>
      <c r="E203" s="1066">
        <f t="shared" si="3"/>
        <v>200</v>
      </c>
      <c r="F203" s="1066" t="b">
        <f>CA15.02!D17=SI04.01!D17+SI04.01!D43+SI04.01!D69</f>
        <v>1</v>
      </c>
    </row>
    <row r="204" spans="1:6" ht="72">
      <c r="A204" s="1068">
        <v>201</v>
      </c>
      <c r="B204" s="1069" t="s">
        <v>2564</v>
      </c>
      <c r="E204" s="1066">
        <f t="shared" si="3"/>
        <v>201</v>
      </c>
      <c r="F204" s="1066" t="b">
        <f>CA15.02!D18=SI04.01!D18+SI04.01!D30+SI04.01!D44+SI04.01!D56+SI04.01!D70+SI04.01!D82</f>
        <v>1</v>
      </c>
    </row>
    <row r="205" spans="1:6" ht="72">
      <c r="A205" s="1068">
        <v>202</v>
      </c>
      <c r="B205" s="1069" t="s">
        <v>2565</v>
      </c>
      <c r="E205" s="1066">
        <f t="shared" si="3"/>
        <v>202</v>
      </c>
      <c r="F205" s="1066" t="b">
        <f>CA15.02!D19=SI04.01!D19+SI04.01!D31+SI04.01!D45+SI04.01!D57+SI04.01!D71+SI04.01!D83</f>
        <v>1</v>
      </c>
    </row>
    <row r="206" spans="1:6" ht="36">
      <c r="A206" s="1068">
        <v>203</v>
      </c>
      <c r="B206" s="1069" t="s">
        <v>2566</v>
      </c>
      <c r="E206" s="1066">
        <f t="shared" si="3"/>
        <v>203</v>
      </c>
      <c r="F206" s="1066" t="b">
        <f>CA15.03!D7=BA01.01!D50</f>
        <v>1</v>
      </c>
    </row>
    <row r="207" spans="1:6" ht="36">
      <c r="A207" s="1068">
        <v>204</v>
      </c>
      <c r="B207" s="1069" t="s">
        <v>2567</v>
      </c>
      <c r="E207" s="1066">
        <f t="shared" si="3"/>
        <v>204</v>
      </c>
      <c r="F207" s="1066" t="b">
        <f>CA15.03!D13=BA01.01!D20+BA01.01!D32</f>
        <v>1</v>
      </c>
    </row>
    <row r="208" spans="1:6" ht="36">
      <c r="A208" s="1068">
        <v>205</v>
      </c>
      <c r="B208" s="1069" t="s">
        <v>2568</v>
      </c>
      <c r="E208" s="1066">
        <f t="shared" si="3"/>
        <v>205</v>
      </c>
      <c r="F208" s="1066" t="b">
        <f>CA15.03!D15=BA01.01!D77-BA01.01!D84</f>
        <v>1</v>
      </c>
    </row>
    <row r="209" spans="1:6" ht="54">
      <c r="A209" s="1068">
        <v>206</v>
      </c>
      <c r="B209" s="1069" t="s">
        <v>2569</v>
      </c>
      <c r="E209" s="1066">
        <f t="shared" si="3"/>
        <v>206</v>
      </c>
      <c r="F209" s="1066" t="b">
        <f>CA15.03!D16=BA01.01!D86+BA01.01!D96-BA01.01!D90</f>
        <v>1</v>
      </c>
    </row>
    <row r="210" spans="1:6" ht="36">
      <c r="A210" s="1068">
        <v>207</v>
      </c>
      <c r="B210" s="1069" t="s">
        <v>2570</v>
      </c>
      <c r="E210" s="1066">
        <f t="shared" si="3"/>
        <v>207</v>
      </c>
      <c r="F210" s="1066" t="b">
        <f>CA15.03!D26=BA01.01!D61</f>
        <v>0</v>
      </c>
    </row>
    <row r="211" spans="1:6" ht="36">
      <c r="A211" s="1068">
        <v>208</v>
      </c>
      <c r="B211" s="1069" t="s">
        <v>2571</v>
      </c>
      <c r="E211" s="1066">
        <f t="shared" si="3"/>
        <v>208</v>
      </c>
      <c r="F211" s="1066" t="b">
        <f>CA15.05!D21=BA01.01!D84</f>
        <v>1</v>
      </c>
    </row>
    <row r="212" spans="1:6" ht="36">
      <c r="A212" s="1068">
        <v>209</v>
      </c>
      <c r="B212" s="1069" t="s">
        <v>2572</v>
      </c>
      <c r="E212" s="1066">
        <f t="shared" si="3"/>
        <v>209</v>
      </c>
      <c r="F212" s="1066" t="b">
        <f>CA15.05!D26&gt;BC01.03!D21</f>
        <v>0</v>
      </c>
    </row>
    <row r="213" spans="1:6" ht="36">
      <c r="A213" s="1068">
        <v>210</v>
      </c>
      <c r="B213" s="1069" t="s">
        <v>2573</v>
      </c>
      <c r="E213" s="1066">
        <f t="shared" si="3"/>
        <v>210</v>
      </c>
      <c r="F213" s="1066" t="b">
        <f>CA15.05!D27=BC01.03!D19</f>
        <v>1</v>
      </c>
    </row>
    <row r="214" spans="1:6" ht="36">
      <c r="A214" s="1068">
        <v>211</v>
      </c>
      <c r="B214" s="1069" t="s">
        <v>2574</v>
      </c>
      <c r="E214" s="1066">
        <f t="shared" si="3"/>
        <v>211</v>
      </c>
      <c r="F214" s="1066" t="b">
        <f>CA15.05!D28&gt;BC01.03!D20</f>
        <v>0</v>
      </c>
    </row>
    <row r="215" spans="1:6" ht="36">
      <c r="A215" s="1068">
        <v>212</v>
      </c>
      <c r="B215" s="1069" t="s">
        <v>2575</v>
      </c>
      <c r="E215" s="1066">
        <f t="shared" si="3"/>
        <v>212</v>
      </c>
      <c r="F215" s="1066" t="b">
        <f>CA15.05!D29&gt;BC01.03!D21-CA15.05!D26</f>
        <v>0</v>
      </c>
    </row>
    <row r="216" spans="1:6" ht="36">
      <c r="A216" s="1068">
        <v>213</v>
      </c>
      <c r="B216" s="1069" t="s">
        <v>2576</v>
      </c>
      <c r="E216" s="1066">
        <f t="shared" si="3"/>
        <v>213</v>
      </c>
      <c r="F216" s="1066" t="b">
        <f>CA15.05!D32&gt;BC01.03!D22</f>
        <v>0</v>
      </c>
    </row>
    <row r="217" spans="1:6" ht="90">
      <c r="A217" s="1068">
        <v>214</v>
      </c>
      <c r="B217" s="1069" t="s">
        <v>2577</v>
      </c>
      <c r="E217" s="1066">
        <f t="shared" si="3"/>
        <v>214</v>
      </c>
      <c r="F217" s="1066" t="b">
        <f>CA15.05!D34=SI04.01!D27+SI04.01!D28+SI04.01!D29+SI04.01!D53+SI04.01!D54+SI04.01!D55+SI04.01!D79+SI04.01!D80+SI04.01!D81</f>
        <v>1</v>
      </c>
    </row>
    <row r="218" spans="1:6" ht="36">
      <c r="A218" s="1068">
        <v>215</v>
      </c>
      <c r="B218" s="1069" t="s">
        <v>2578</v>
      </c>
      <c r="E218" s="1066">
        <f t="shared" si="3"/>
        <v>215</v>
      </c>
      <c r="F218" s="1066" t="b">
        <f>DI18.01!D8&lt;BB01.05!D24</f>
        <v>0</v>
      </c>
    </row>
    <row r="219" spans="1:6" ht="90">
      <c r="A219" s="1068">
        <v>216</v>
      </c>
      <c r="B219" s="1069" t="s">
        <v>2579</v>
      </c>
      <c r="E219" s="1066">
        <f t="shared" si="3"/>
        <v>216</v>
      </c>
      <c r="F219" s="1066" t="b">
        <f>MI17.01!D175=DA13.03!I12+DA13.03!I15+DA13.03!I19+DA13.03!I22+DA13.03!I32+DA13.03!I35+DA13.03!I39+DA13.03!I42</f>
        <v>1</v>
      </c>
    </row>
    <row r="220" spans="1:6" ht="198">
      <c r="A220" s="1068">
        <v>217</v>
      </c>
      <c r="B220" s="1069" t="s">
        <v>2580</v>
      </c>
      <c r="E220" s="1066">
        <f t="shared" si="3"/>
        <v>217</v>
      </c>
      <c r="F220" s="1066" t="b">
        <f>MI17.01!D173=DA13.01!I12+DA13.01!I15+DA13.01!I19+DA13.01!I22+DA13.01!I32+DA13.01!I35+DA13.01!I39+DA13.01!I42+DA13.03!I12+DA13.03!I15+DA13.03!I19+DA13.03!I22+DA13.03!I32+DA13.03!I35+DA13.03!I39+DA13.03!I42</f>
        <v>1</v>
      </c>
    </row>
    <row r="221" spans="1:6" ht="108">
      <c r="A221" s="1068">
        <v>218</v>
      </c>
      <c r="B221" s="1069" t="s">
        <v>2581</v>
      </c>
      <c r="E221" s="1066">
        <f t="shared" si="3"/>
        <v>218</v>
      </c>
      <c r="F221" s="1066" t="b">
        <f>MI17.01!D174=DA13.01!I32+DA13.01!I35+DA13.01!I39+DA13.01!I42+DA13.03!I32+DA13.03!I35+DA13.03!I39+DA13.03!I42+DA13.05!I32+DA13.05!I35+DA13.05!I39+DA13.05!I42</f>
        <v>1</v>
      </c>
    </row>
    <row r="222" spans="1:6" ht="54">
      <c r="A222" s="1068">
        <v>219</v>
      </c>
      <c r="B222" s="1069" t="s">
        <v>2582</v>
      </c>
      <c r="E222" s="1066">
        <f t="shared" si="3"/>
        <v>219</v>
      </c>
      <c r="F222" s="1066" t="b">
        <f>MI17.01!D176=DA13.03!I32+DA13.03!I35+DA13.03!I39+DA13.03!I42</f>
        <v>1</v>
      </c>
    </row>
    <row r="1048576" spans="5:5">
      <c r="E1048576" s="1066"/>
    </row>
  </sheetData>
  <mergeCells count="2">
    <mergeCell ref="A1:B1"/>
    <mergeCell ref="A2:B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codeName="Лист9"/>
  <dimension ref="B1:E33"/>
  <sheetViews>
    <sheetView topLeftCell="A16" workbookViewId="0">
      <selection activeCell="I28" sqref="I28"/>
    </sheetView>
  </sheetViews>
  <sheetFormatPr defaultRowHeight="18"/>
  <cols>
    <col min="1" max="1" width="1.42578125" style="91" customWidth="1"/>
    <col min="2" max="2" width="10.42578125" style="91" bestFit="1" customWidth="1"/>
    <col min="3" max="3" width="75.42578125" style="91" bestFit="1" customWidth="1"/>
    <col min="4" max="5" width="20.7109375" style="91" customWidth="1"/>
    <col min="6" max="16384" width="9.140625" style="91"/>
  </cols>
  <sheetData>
    <row r="1" spans="2:5" ht="30.75" customHeight="1">
      <c r="B1" s="655"/>
      <c r="C1" s="656"/>
      <c r="D1" s="1167" t="s">
        <v>1854</v>
      </c>
      <c r="E1" s="1168"/>
    </row>
    <row r="2" spans="2:5" s="87" customFormat="1">
      <c r="B2" s="655"/>
      <c r="C2" s="39" t="str">
        <f>T!E18</f>
        <v>Номгӯи ташкилоти қарзӣ</v>
      </c>
      <c r="D2" s="657"/>
      <c r="E2" s="86"/>
    </row>
    <row r="3" spans="2:5" s="87" customFormat="1">
      <c r="B3" s="655"/>
      <c r="C3" s="105" t="str">
        <f>T!B10</f>
        <v>Ҳисобот дар санаи</v>
      </c>
      <c r="D3" s="658"/>
      <c r="E3" s="658"/>
    </row>
    <row r="4" spans="2:5" s="87" customFormat="1">
      <c r="B4" s="655"/>
      <c r="C4" s="659" t="str">
        <f>'List of Scedules'!B9</f>
        <v>ҶАДВАЛИ 01.05. ШАРҲИ ДИГАР ДОРОИҲО ВА УҲДАДОРИҲО</v>
      </c>
      <c r="D4" s="660"/>
      <c r="E4" s="660"/>
    </row>
    <row r="5" spans="2:5" s="87" customFormat="1">
      <c r="B5" s="655"/>
      <c r="C5" s="661"/>
      <c r="D5" s="660"/>
      <c r="E5" s="660"/>
    </row>
    <row r="6" spans="2:5" ht="36">
      <c r="B6" s="107"/>
      <c r="C6" s="108" t="s">
        <v>2217</v>
      </c>
      <c r="D6" s="5" t="s">
        <v>1268</v>
      </c>
      <c r="E6" s="6" t="s">
        <v>1269</v>
      </c>
    </row>
    <row r="7" spans="2:5">
      <c r="B7" s="109" t="s">
        <v>784</v>
      </c>
      <c r="C7" s="110" t="s">
        <v>1497</v>
      </c>
      <c r="D7" s="111">
        <f>+D8+D9+D10+D11+D13+D14+D15+D16+D17+D19+D20</f>
        <v>0</v>
      </c>
      <c r="E7" s="111">
        <f>+E8+E9+E10+E11+E13+E14+E15+E16+E17+E19+E20</f>
        <v>0</v>
      </c>
    </row>
    <row r="8" spans="2:5">
      <c r="B8" s="109" t="s">
        <v>785</v>
      </c>
      <c r="C8" s="112" t="s">
        <v>2216</v>
      </c>
      <c r="D8" s="9"/>
      <c r="E8" s="9"/>
    </row>
    <row r="9" spans="2:5">
      <c r="B9" s="109" t="s">
        <v>786</v>
      </c>
      <c r="C9" s="112" t="s">
        <v>1521</v>
      </c>
      <c r="D9" s="9"/>
      <c r="E9" s="9"/>
    </row>
    <row r="10" spans="2:5">
      <c r="B10" s="109" t="s">
        <v>787</v>
      </c>
      <c r="C10" s="112" t="s">
        <v>1522</v>
      </c>
      <c r="D10" s="9"/>
      <c r="E10" s="9"/>
    </row>
    <row r="11" spans="2:5">
      <c r="B11" s="109" t="s">
        <v>788</v>
      </c>
      <c r="C11" s="112" t="s">
        <v>1523</v>
      </c>
      <c r="D11" s="9"/>
      <c r="E11" s="9"/>
    </row>
    <row r="12" spans="2:5">
      <c r="B12" s="109" t="s">
        <v>789</v>
      </c>
      <c r="C12" s="110" t="s">
        <v>2215</v>
      </c>
      <c r="D12" s="9"/>
      <c r="E12" s="9"/>
    </row>
    <row r="13" spans="2:5">
      <c r="B13" s="109" t="s">
        <v>790</v>
      </c>
      <c r="C13" s="112" t="s">
        <v>2214</v>
      </c>
      <c r="D13" s="9"/>
      <c r="E13" s="9"/>
    </row>
    <row r="14" spans="2:5" ht="36">
      <c r="B14" s="109" t="s">
        <v>791</v>
      </c>
      <c r="C14" s="112" t="s">
        <v>1524</v>
      </c>
      <c r="D14" s="9"/>
      <c r="E14" s="9"/>
    </row>
    <row r="15" spans="2:5">
      <c r="B15" s="109" t="s">
        <v>792</v>
      </c>
      <c r="C15" s="114" t="s">
        <v>1508</v>
      </c>
      <c r="D15" s="9"/>
      <c r="E15" s="9"/>
    </row>
    <row r="16" spans="2:5">
      <c r="B16" s="109" t="s">
        <v>793</v>
      </c>
      <c r="C16" s="112" t="s">
        <v>1525</v>
      </c>
      <c r="D16" s="9"/>
      <c r="E16" s="9"/>
    </row>
    <row r="17" spans="2:5">
      <c r="B17" s="109" t="s">
        <v>794</v>
      </c>
      <c r="C17" s="112" t="s">
        <v>1526</v>
      </c>
      <c r="D17" s="9"/>
      <c r="E17" s="9"/>
    </row>
    <row r="18" spans="2:5">
      <c r="B18" s="109" t="s">
        <v>795</v>
      </c>
      <c r="C18" s="110" t="s">
        <v>1842</v>
      </c>
      <c r="D18" s="9"/>
      <c r="E18" s="9"/>
    </row>
    <row r="19" spans="2:5">
      <c r="B19" s="109" t="s">
        <v>796</v>
      </c>
      <c r="C19" s="112" t="s">
        <v>1527</v>
      </c>
      <c r="D19" s="9"/>
      <c r="E19" s="9"/>
    </row>
    <row r="20" spans="2:5">
      <c r="B20" s="109" t="s">
        <v>797</v>
      </c>
      <c r="C20" s="112" t="s">
        <v>1504</v>
      </c>
      <c r="D20" s="9"/>
      <c r="E20" s="9"/>
    </row>
    <row r="21" spans="2:5">
      <c r="B21" s="109"/>
      <c r="C21" s="115"/>
      <c r="D21" s="116"/>
      <c r="E21" s="113"/>
    </row>
    <row r="22" spans="2:5">
      <c r="B22" s="117" t="s">
        <v>597</v>
      </c>
      <c r="C22" s="110" t="s">
        <v>1057</v>
      </c>
      <c r="D22" s="111">
        <f>SUM(D23:D33)</f>
        <v>0</v>
      </c>
      <c r="E22" s="111">
        <f>SUM(E23:E33)</f>
        <v>0</v>
      </c>
    </row>
    <row r="23" spans="2:5">
      <c r="B23" s="109" t="s">
        <v>798</v>
      </c>
      <c r="C23" s="112" t="s">
        <v>2213</v>
      </c>
      <c r="D23" s="9"/>
      <c r="E23" s="9"/>
    </row>
    <row r="24" spans="2:5">
      <c r="B24" s="109" t="s">
        <v>799</v>
      </c>
      <c r="C24" s="112" t="s">
        <v>1528</v>
      </c>
      <c r="D24" s="9"/>
      <c r="E24" s="9"/>
    </row>
    <row r="25" spans="2:5">
      <c r="B25" s="109" t="s">
        <v>800</v>
      </c>
      <c r="C25" s="112" t="s">
        <v>1529</v>
      </c>
      <c r="D25" s="9"/>
      <c r="E25" s="9"/>
    </row>
    <row r="26" spans="2:5" ht="36">
      <c r="B26" s="109" t="s">
        <v>803</v>
      </c>
      <c r="C26" s="112" t="s">
        <v>1530</v>
      </c>
      <c r="D26" s="9"/>
      <c r="E26" s="9"/>
    </row>
    <row r="27" spans="2:5">
      <c r="B27" s="109" t="s">
        <v>326</v>
      </c>
      <c r="C27" s="112" t="s">
        <v>1531</v>
      </c>
      <c r="D27" s="9"/>
      <c r="E27" s="9"/>
    </row>
    <row r="28" spans="2:5">
      <c r="B28" s="109" t="s">
        <v>327</v>
      </c>
      <c r="C28" s="112" t="s">
        <v>1532</v>
      </c>
      <c r="D28" s="9"/>
      <c r="E28" s="9"/>
    </row>
    <row r="29" spans="2:5">
      <c r="B29" s="109" t="s">
        <v>462</v>
      </c>
      <c r="C29" s="114" t="s">
        <v>2212</v>
      </c>
      <c r="D29" s="9"/>
      <c r="E29" s="9"/>
    </row>
    <row r="30" spans="2:5">
      <c r="B30" s="109" t="s">
        <v>739</v>
      </c>
      <c r="C30" s="114" t="s">
        <v>1533</v>
      </c>
      <c r="D30" s="9"/>
      <c r="E30" s="9"/>
    </row>
    <row r="31" spans="2:5">
      <c r="B31" s="109" t="s">
        <v>740</v>
      </c>
      <c r="C31" s="112" t="s">
        <v>1509</v>
      </c>
      <c r="D31" s="9"/>
      <c r="E31" s="9"/>
    </row>
    <row r="32" spans="2:5">
      <c r="B32" s="109" t="s">
        <v>741</v>
      </c>
      <c r="C32" s="1089" t="s">
        <v>1721</v>
      </c>
      <c r="D32" s="9"/>
      <c r="E32" s="9"/>
    </row>
    <row r="33" spans="2:5">
      <c r="B33" s="109" t="s">
        <v>546</v>
      </c>
      <c r="C33" s="118" t="s">
        <v>2208</v>
      </c>
      <c r="D33" s="9"/>
      <c r="E33" s="9"/>
    </row>
  </sheetData>
  <sheetProtection password="E9D4" sheet="1" objects="1" scenarios="1"/>
  <customSheetViews>
    <customSheetView guid="{871F8275-217B-436F-8813-871F820F0EE4}" scale="85" showPageBreaks="1" showGridLines="0" view="pageBreakPreview">
      <selection activeCell="D20" sqref="D20"/>
      <pageMargins left="0.17" right="0.16" top="0.39370078740157483" bottom="0.39370078740157483" header="0.19685039370078741" footer="0.19685039370078741"/>
      <pageSetup paperSize="9" scale="80" orientation="portrait" r:id="rId1"/>
      <headerFooter alignWithMargins="0">
        <oddFooter>&amp;L&amp;7&amp;D&amp;C&amp;7&amp;P&amp;R&amp;7&amp;F</oddFooter>
      </headerFooter>
    </customSheetView>
    <customSheetView guid="{2EBF18CB-80C9-43ED-A978-2AAEAC40933E}" scale="75" showGridLines="0" showRuler="0" topLeftCell="A4">
      <selection activeCell="C23" sqref="C23"/>
      <pageMargins left="0.31496062992125984" right="0.31496062992125984" top="0.39370078740157483" bottom="0.39370078740157483" header="0.19685039370078741" footer="0.19685039370078741"/>
      <pageSetup paperSize="9" scale="80" orientation="portrait" r:id="rId2"/>
      <headerFooter alignWithMargins="0">
        <oddFooter>&amp;L&amp;7&amp;D&amp;C&amp;7&amp;P&amp;R&amp;7&amp;F</oddFooter>
      </headerFooter>
    </customSheetView>
    <customSheetView guid="{47D3AB49-9599-4A16-951B-F48FEC1C0136}" scale="75" showGridLines="0" topLeftCell="A6">
      <selection activeCell="E29" sqref="E29"/>
      <pageMargins left="0.31496062992125984" right="0.31496062992125984" top="0.39370078740157483" bottom="0.39370078740157483" header="0.19685039370078741" footer="0.19685039370078741"/>
      <pageSetup paperSize="9" scale="80" orientation="portrait" r:id="rId3"/>
      <headerFooter alignWithMargins="0">
        <oddFooter>&amp;L&amp;7&amp;D&amp;C&amp;7&amp;P&amp;R&amp;7&amp;F</oddFooter>
      </headerFooter>
    </customSheetView>
    <customSheetView guid="{ECE607A2-8A26-46E0-8BDC-E9AD788F604C}" scale="85" showPageBreaks="1" showGridLines="0" view="pageBreakPreview">
      <selection activeCell="E29" sqref="E29"/>
      <pageMargins left="0.17" right="0.16" top="0.39370078740157483" bottom="0.39370078740157483" header="0.19685039370078741" footer="0.19685039370078741"/>
      <pageSetup paperSize="9" scale="80" orientation="portrait" r:id="rId4"/>
      <headerFooter alignWithMargins="0">
        <oddFooter>&amp;L&amp;7&amp;D&amp;C&amp;7&amp;P&amp;R&amp;7&amp;F</oddFooter>
      </headerFooter>
    </customSheetView>
    <customSheetView guid="{FB1E0752-409C-4E7D-BCFE-7AEBEB8B5F0D}" scale="85" showPageBreaks="1" showGridLines="0" view="pageBreakPreview">
      <selection activeCell="E29" sqref="E29"/>
      <pageMargins left="0.17" right="0.16" top="0.39370078740157483" bottom="0.39370078740157483" header="0.19685039370078741" footer="0.19685039370078741"/>
      <pageSetup paperSize="9" scale="80" orientation="portrait" r:id="rId5"/>
      <headerFooter alignWithMargins="0">
        <oddFooter>&amp;L&amp;7&amp;D&amp;C&amp;7&amp;P&amp;R&amp;7&amp;F</oddFooter>
      </headerFooter>
    </customSheetView>
  </customSheetViews>
  <mergeCells count="1">
    <mergeCell ref="D1:E1"/>
  </mergeCells>
  <phoneticPr fontId="0" type="noConversion"/>
  <pageMargins left="0.17" right="0.16" top="0.39370078740157483" bottom="0.39370078740157483" header="0.19685039370078741" footer="0.19685039370078741"/>
  <pageSetup paperSize="9" scale="79" orientation="portrait" r:id="rId6"/>
  <headerFooter alignWithMargins="0">
    <oddFooter>&amp;L&amp;7&amp;D&amp;C&amp;7&amp;P&amp;R&amp;7&amp;F</oddFooter>
  </headerFooter>
</worksheet>
</file>

<file path=xl/worksheets/sheet11.xml><?xml version="1.0" encoding="utf-8"?>
<worksheet xmlns="http://schemas.openxmlformats.org/spreadsheetml/2006/main" xmlns:r="http://schemas.openxmlformats.org/officeDocument/2006/relationships">
  <sheetPr codeName="Лист10"/>
  <dimension ref="A1:E135"/>
  <sheetViews>
    <sheetView workbookViewId="0"/>
  </sheetViews>
  <sheetFormatPr defaultRowHeight="18"/>
  <cols>
    <col min="1" max="1" width="2" style="91" customWidth="1"/>
    <col min="2" max="2" width="10.42578125" style="91" bestFit="1" customWidth="1"/>
    <col min="3" max="3" width="88" style="91" customWidth="1"/>
    <col min="4" max="4" width="20.7109375" style="91" customWidth="1"/>
    <col min="5" max="5" width="18.42578125" style="91" customWidth="1"/>
    <col min="6" max="16384" width="9.140625" style="91"/>
  </cols>
  <sheetData>
    <row r="1" spans="1:5" s="87" customFormat="1" ht="31.5" customHeight="1">
      <c r="C1" s="1167" t="s">
        <v>1855</v>
      </c>
      <c r="D1" s="1168"/>
      <c r="E1" s="86"/>
    </row>
    <row r="2" spans="1:5" s="87" customFormat="1">
      <c r="A2" s="152"/>
      <c r="C2" s="39" t="str">
        <f>T!E18</f>
        <v>Номгӯи ташкилоти қарзӣ</v>
      </c>
      <c r="D2" s="151"/>
      <c r="E2" s="86"/>
    </row>
    <row r="3" spans="1:5" s="87" customFormat="1">
      <c r="A3" s="152"/>
      <c r="C3" s="153" t="str">
        <f>T!B10</f>
        <v>Ҳисобот дар санаи</v>
      </c>
      <c r="D3" s="1185"/>
      <c r="E3" s="1185"/>
    </row>
    <row r="4" spans="1:5" s="87" customFormat="1">
      <c r="A4" s="152"/>
      <c r="C4" s="153" t="str">
        <f>'List of Scedules'!B10</f>
        <v>ҶАДВАЛИ 02.01. ҲИСОБОТ ОИД БА ФОИДА ВА ЗАРАР</v>
      </c>
      <c r="D4" s="154"/>
      <c r="E4" s="151"/>
    </row>
    <row r="5" spans="1:5">
      <c r="B5" s="155"/>
      <c r="C5" s="153"/>
      <c r="D5" s="156"/>
      <c r="E5" s="157"/>
    </row>
    <row r="6" spans="1:5">
      <c r="B6" s="119"/>
      <c r="C6" s="120"/>
      <c r="D6" s="5" t="s">
        <v>1268</v>
      </c>
      <c r="E6" s="158"/>
    </row>
    <row r="7" spans="1:5">
      <c r="B7" s="121" t="s">
        <v>898</v>
      </c>
      <c r="C7" s="122" t="s">
        <v>1534</v>
      </c>
      <c r="D7" s="123">
        <f>SUM(D8:D14)+D21+D22+D23+D24</f>
        <v>0</v>
      </c>
      <c r="E7" s="158"/>
    </row>
    <row r="8" spans="1:5">
      <c r="B8" s="121" t="s">
        <v>899</v>
      </c>
      <c r="C8" s="124" t="s">
        <v>1744</v>
      </c>
      <c r="D8" s="80"/>
      <c r="E8" s="159"/>
    </row>
    <row r="9" spans="1:5">
      <c r="B9" s="121" t="s">
        <v>900</v>
      </c>
      <c r="C9" s="124" t="s">
        <v>1296</v>
      </c>
      <c r="D9" s="9"/>
      <c r="E9" s="159"/>
    </row>
    <row r="10" spans="1:5">
      <c r="B10" s="121" t="s">
        <v>1535</v>
      </c>
      <c r="C10" s="19" t="s">
        <v>1297</v>
      </c>
      <c r="D10" s="9"/>
      <c r="E10" s="159"/>
    </row>
    <row r="11" spans="1:5">
      <c r="B11" s="121" t="s">
        <v>901</v>
      </c>
      <c r="C11" s="124" t="s">
        <v>1058</v>
      </c>
      <c r="D11" s="9"/>
      <c r="E11" s="159"/>
    </row>
    <row r="12" spans="1:5">
      <c r="B12" s="121" t="s">
        <v>902</v>
      </c>
      <c r="C12" s="124" t="s">
        <v>1536</v>
      </c>
      <c r="D12" s="9"/>
      <c r="E12" s="159"/>
    </row>
    <row r="13" spans="1:5">
      <c r="B13" s="121" t="s">
        <v>903</v>
      </c>
      <c r="C13" s="126" t="s">
        <v>1537</v>
      </c>
      <c r="D13" s="9"/>
      <c r="E13" s="159"/>
    </row>
    <row r="14" spans="1:5">
      <c r="B14" s="121" t="s">
        <v>913</v>
      </c>
      <c r="C14" s="122" t="s">
        <v>1465</v>
      </c>
      <c r="D14" s="123">
        <f>SUM(D15:D20)</f>
        <v>0</v>
      </c>
      <c r="E14" s="159"/>
    </row>
    <row r="15" spans="1:5">
      <c r="B15" s="121" t="s">
        <v>914</v>
      </c>
      <c r="C15" s="124" t="s">
        <v>1298</v>
      </c>
      <c r="D15" s="9"/>
      <c r="E15" s="159"/>
    </row>
    <row r="16" spans="1:5">
      <c r="B16" s="121" t="s">
        <v>915</v>
      </c>
      <c r="C16" s="124" t="s">
        <v>1466</v>
      </c>
      <c r="D16" s="9"/>
      <c r="E16" s="159"/>
    </row>
    <row r="17" spans="2:5">
      <c r="B17" s="121" t="s">
        <v>1538</v>
      </c>
      <c r="C17" s="8" t="s">
        <v>1468</v>
      </c>
      <c r="D17" s="9"/>
      <c r="E17" s="159"/>
    </row>
    <row r="18" spans="2:5">
      <c r="B18" s="121" t="s">
        <v>916</v>
      </c>
      <c r="C18" s="8" t="s">
        <v>1469</v>
      </c>
      <c r="D18" s="9"/>
      <c r="E18" s="159"/>
    </row>
    <row r="19" spans="2:5">
      <c r="B19" s="121" t="s">
        <v>917</v>
      </c>
      <c r="C19" s="124" t="s">
        <v>1470</v>
      </c>
      <c r="D19" s="9"/>
      <c r="E19" s="159"/>
    </row>
    <row r="20" spans="2:5">
      <c r="B20" s="121" t="s">
        <v>918</v>
      </c>
      <c r="C20" s="124" t="s">
        <v>1539</v>
      </c>
      <c r="D20" s="9"/>
      <c r="E20" s="159"/>
    </row>
    <row r="21" spans="2:5">
      <c r="B21" s="121" t="s">
        <v>919</v>
      </c>
      <c r="C21" s="124" t="s">
        <v>1540</v>
      </c>
      <c r="D21" s="9"/>
      <c r="E21" s="159"/>
    </row>
    <row r="22" spans="2:5">
      <c r="B22" s="121" t="s">
        <v>1541</v>
      </c>
      <c r="C22" s="124" t="s">
        <v>1542</v>
      </c>
      <c r="D22" s="9"/>
      <c r="E22" s="160"/>
    </row>
    <row r="23" spans="2:5">
      <c r="B23" s="121" t="s">
        <v>920</v>
      </c>
      <c r="C23" s="124" t="s">
        <v>1294</v>
      </c>
      <c r="D23" s="9"/>
      <c r="E23" s="161"/>
    </row>
    <row r="24" spans="2:5">
      <c r="B24" s="121" t="s">
        <v>921</v>
      </c>
      <c r="C24" s="124" t="s">
        <v>1543</v>
      </c>
      <c r="D24" s="9"/>
      <c r="E24" s="162"/>
    </row>
    <row r="25" spans="2:5">
      <c r="B25" s="121"/>
      <c r="C25" s="122"/>
      <c r="D25" s="125"/>
      <c r="E25" s="159"/>
    </row>
    <row r="26" spans="2:5">
      <c r="B26" s="121" t="s">
        <v>430</v>
      </c>
      <c r="C26" s="122" t="s">
        <v>1544</v>
      </c>
      <c r="D26" s="123">
        <f>SUM(D27:D31)+D35+D36+D37+D38</f>
        <v>0</v>
      </c>
      <c r="E26" s="159"/>
    </row>
    <row r="27" spans="2:5">
      <c r="B27" s="121" t="s">
        <v>431</v>
      </c>
      <c r="C27" s="124" t="s">
        <v>1744</v>
      </c>
      <c r="D27" s="9"/>
      <c r="E27" s="159"/>
    </row>
    <row r="28" spans="2:5">
      <c r="B28" s="121" t="s">
        <v>432</v>
      </c>
      <c r="C28" s="124" t="s">
        <v>1296</v>
      </c>
      <c r="D28" s="9"/>
      <c r="E28" s="159"/>
    </row>
    <row r="29" spans="2:5">
      <c r="B29" s="121" t="s">
        <v>1545</v>
      </c>
      <c r="C29" s="19" t="s">
        <v>1297</v>
      </c>
      <c r="D29" s="9"/>
      <c r="E29" s="159"/>
    </row>
    <row r="30" spans="2:5">
      <c r="B30" s="121" t="s">
        <v>433</v>
      </c>
      <c r="C30" s="124" t="s">
        <v>1546</v>
      </c>
      <c r="D30" s="9"/>
      <c r="E30" s="159"/>
    </row>
    <row r="31" spans="2:5">
      <c r="B31" s="121" t="s">
        <v>434</v>
      </c>
      <c r="C31" s="827" t="s">
        <v>196</v>
      </c>
      <c r="D31" s="123">
        <f>SUM(D32:D34)</f>
        <v>0</v>
      </c>
      <c r="E31" s="159"/>
    </row>
    <row r="32" spans="2:5">
      <c r="B32" s="121" t="s">
        <v>435</v>
      </c>
      <c r="C32" s="124" t="s">
        <v>1516</v>
      </c>
      <c r="D32" s="9"/>
      <c r="E32" s="159"/>
    </row>
    <row r="33" spans="2:5">
      <c r="B33" s="121" t="s">
        <v>436</v>
      </c>
      <c r="C33" s="124" t="s">
        <v>1547</v>
      </c>
      <c r="D33" s="9"/>
      <c r="E33" s="159"/>
    </row>
    <row r="34" spans="2:5">
      <c r="B34" s="121" t="s">
        <v>437</v>
      </c>
      <c r="C34" s="126" t="s">
        <v>1059</v>
      </c>
      <c r="D34" s="9"/>
      <c r="E34" s="160"/>
    </row>
    <row r="35" spans="2:5">
      <c r="B35" s="121" t="s">
        <v>438</v>
      </c>
      <c r="C35" s="124" t="s">
        <v>1548</v>
      </c>
      <c r="D35" s="9"/>
      <c r="E35" s="162"/>
    </row>
    <row r="36" spans="2:5">
      <c r="B36" s="121" t="s">
        <v>1549</v>
      </c>
      <c r="C36" s="124" t="s">
        <v>1550</v>
      </c>
      <c r="D36" s="9"/>
      <c r="E36" s="159"/>
    </row>
    <row r="37" spans="2:5">
      <c r="B37" s="121" t="s">
        <v>439</v>
      </c>
      <c r="C37" s="124" t="s">
        <v>1551</v>
      </c>
      <c r="D37" s="80"/>
      <c r="E37" s="159"/>
    </row>
    <row r="38" spans="2:5">
      <c r="B38" s="121" t="s">
        <v>440</v>
      </c>
      <c r="C38" s="124" t="s">
        <v>1552</v>
      </c>
      <c r="D38" s="80"/>
      <c r="E38" s="159"/>
    </row>
    <row r="39" spans="2:5">
      <c r="B39" s="121"/>
      <c r="C39" s="127"/>
      <c r="D39" s="125"/>
      <c r="E39" s="159"/>
    </row>
    <row r="40" spans="2:5">
      <c r="B40" s="121" t="s">
        <v>441</v>
      </c>
      <c r="C40" s="122" t="s">
        <v>1723</v>
      </c>
      <c r="D40" s="123">
        <f>+D7-D26</f>
        <v>0</v>
      </c>
      <c r="E40" s="159"/>
    </row>
    <row r="41" spans="2:5">
      <c r="B41" s="121"/>
      <c r="C41" s="127"/>
      <c r="D41" s="487" t="s">
        <v>683</v>
      </c>
      <c r="E41" s="160"/>
    </row>
    <row r="42" spans="2:5">
      <c r="B42" s="121" t="s">
        <v>442</v>
      </c>
      <c r="C42" s="128" t="s">
        <v>1553</v>
      </c>
      <c r="D42" s="125"/>
      <c r="E42" s="161"/>
    </row>
    <row r="43" spans="2:5">
      <c r="B43" s="121" t="s">
        <v>443</v>
      </c>
      <c r="C43" s="124" t="s">
        <v>1554</v>
      </c>
      <c r="D43" s="125"/>
      <c r="E43" s="162"/>
    </row>
    <row r="44" spans="2:5">
      <c r="B44" s="121" t="s">
        <v>260</v>
      </c>
      <c r="C44" s="124" t="s">
        <v>1555</v>
      </c>
      <c r="D44" s="125"/>
      <c r="E44" s="159"/>
    </row>
    <row r="45" spans="2:5">
      <c r="B45" s="121" t="s">
        <v>444</v>
      </c>
      <c r="C45" s="124" t="s">
        <v>1556</v>
      </c>
      <c r="D45" s="125"/>
      <c r="E45" s="159"/>
    </row>
    <row r="46" spans="2:5">
      <c r="B46" s="121" t="s">
        <v>486</v>
      </c>
      <c r="C46" s="126" t="s">
        <v>1557</v>
      </c>
      <c r="D46" s="125"/>
      <c r="E46" s="159"/>
    </row>
    <row r="47" spans="2:5">
      <c r="B47" s="121" t="s">
        <v>487</v>
      </c>
      <c r="C47" s="122" t="s">
        <v>1558</v>
      </c>
      <c r="D47" s="123">
        <f>+D43+D44-D45-D46</f>
        <v>0</v>
      </c>
      <c r="E47" s="159"/>
    </row>
    <row r="48" spans="2:5">
      <c r="B48" s="121"/>
      <c r="C48" s="122"/>
      <c r="D48" s="125"/>
      <c r="E48" s="160"/>
    </row>
    <row r="49" spans="2:5">
      <c r="B49" s="121" t="s">
        <v>488</v>
      </c>
      <c r="C49" s="122" t="s">
        <v>1559</v>
      </c>
      <c r="D49" s="125">
        <v>0</v>
      </c>
      <c r="E49" s="161"/>
    </row>
    <row r="50" spans="2:5">
      <c r="B50" s="121" t="s">
        <v>261</v>
      </c>
      <c r="C50" s="124" t="s">
        <v>1560</v>
      </c>
      <c r="D50" s="125"/>
      <c r="E50" s="162"/>
    </row>
    <row r="51" spans="2:5">
      <c r="B51" s="100" t="s">
        <v>1561</v>
      </c>
      <c r="C51" s="124" t="s">
        <v>1562</v>
      </c>
      <c r="D51" s="125"/>
      <c r="E51" s="160"/>
    </row>
    <row r="52" spans="2:5">
      <c r="B52" s="121" t="s">
        <v>497</v>
      </c>
      <c r="C52" s="124" t="s">
        <v>1563</v>
      </c>
      <c r="D52" s="125"/>
      <c r="E52" s="159"/>
    </row>
    <row r="53" spans="2:5">
      <c r="B53" s="121" t="s">
        <v>1564</v>
      </c>
      <c r="C53" s="124" t="s">
        <v>1565</v>
      </c>
      <c r="D53" s="125"/>
      <c r="E53" s="159"/>
    </row>
    <row r="54" spans="2:5">
      <c r="B54" s="121" t="s">
        <v>498</v>
      </c>
      <c r="C54" s="122" t="s">
        <v>1558</v>
      </c>
      <c r="D54" s="123">
        <f>+D50+D51-D52-D53</f>
        <v>0</v>
      </c>
      <c r="E54" s="159"/>
    </row>
    <row r="55" spans="2:5">
      <c r="B55" s="121"/>
      <c r="C55" s="122"/>
      <c r="D55" s="125"/>
      <c r="E55" s="159"/>
    </row>
    <row r="56" spans="2:5">
      <c r="B56" s="121" t="s">
        <v>499</v>
      </c>
      <c r="C56" s="122" t="s">
        <v>1566</v>
      </c>
      <c r="D56" s="9"/>
      <c r="E56" s="160"/>
    </row>
    <row r="57" spans="2:5">
      <c r="B57" s="121" t="s">
        <v>500</v>
      </c>
      <c r="C57" s="124" t="s">
        <v>1567</v>
      </c>
      <c r="D57" s="9"/>
      <c r="E57" s="159"/>
    </row>
    <row r="58" spans="2:5">
      <c r="B58" s="121" t="s">
        <v>1568</v>
      </c>
      <c r="C58" s="124" t="s">
        <v>1569</v>
      </c>
      <c r="D58" s="9"/>
      <c r="E58" s="159"/>
    </row>
    <row r="59" spans="2:5">
      <c r="B59" s="121" t="s">
        <v>501</v>
      </c>
      <c r="C59" s="124" t="s">
        <v>1570</v>
      </c>
      <c r="D59" s="9"/>
      <c r="E59" s="159"/>
    </row>
    <row r="60" spans="2:5">
      <c r="B60" s="121" t="s">
        <v>1571</v>
      </c>
      <c r="C60" s="124" t="s">
        <v>1572</v>
      </c>
      <c r="D60" s="9"/>
      <c r="E60" s="159"/>
    </row>
    <row r="61" spans="2:5">
      <c r="B61" s="121" t="s">
        <v>502</v>
      </c>
      <c r="C61" s="122" t="s">
        <v>1558</v>
      </c>
      <c r="D61" s="123">
        <f>+D57+D58-D59-D60</f>
        <v>0</v>
      </c>
      <c r="E61" s="159"/>
    </row>
    <row r="62" spans="2:5">
      <c r="B62" s="121"/>
      <c r="C62" s="127"/>
      <c r="D62" s="125"/>
      <c r="E62" s="160"/>
    </row>
    <row r="63" spans="2:5">
      <c r="B63" s="121" t="s">
        <v>503</v>
      </c>
      <c r="C63" s="122" t="s">
        <v>1573</v>
      </c>
      <c r="D63" s="9"/>
      <c r="E63" s="160"/>
    </row>
    <row r="64" spans="2:5">
      <c r="B64" s="121" t="s">
        <v>504</v>
      </c>
      <c r="C64" s="124" t="s">
        <v>1574</v>
      </c>
      <c r="D64" s="9"/>
      <c r="E64" s="163"/>
    </row>
    <row r="65" spans="2:5">
      <c r="B65" s="121" t="s">
        <v>505</v>
      </c>
      <c r="C65" s="124" t="s">
        <v>1575</v>
      </c>
      <c r="D65" s="9"/>
      <c r="E65" s="160"/>
    </row>
    <row r="66" spans="2:5">
      <c r="B66" s="121" t="s">
        <v>506</v>
      </c>
      <c r="C66" s="122" t="s">
        <v>1558</v>
      </c>
      <c r="D66" s="123">
        <f>+D64-D65</f>
        <v>0</v>
      </c>
      <c r="E66" s="163"/>
    </row>
    <row r="67" spans="2:5">
      <c r="B67" s="121"/>
      <c r="C67" s="127"/>
      <c r="D67" s="125"/>
      <c r="E67" s="160"/>
    </row>
    <row r="68" spans="2:5">
      <c r="B68" s="121" t="s">
        <v>507</v>
      </c>
      <c r="C68" s="122" t="s">
        <v>1576</v>
      </c>
      <c r="D68" s="123">
        <f>SUM(D69:D77)</f>
        <v>0</v>
      </c>
      <c r="E68" s="159"/>
    </row>
    <row r="69" spans="2:5">
      <c r="B69" s="121" t="s">
        <v>508</v>
      </c>
      <c r="C69" s="124" t="s">
        <v>1523</v>
      </c>
      <c r="D69" s="80"/>
      <c r="E69" s="160"/>
    </row>
    <row r="70" spans="2:5">
      <c r="B70" s="121" t="s">
        <v>509</v>
      </c>
      <c r="C70" s="124" t="s">
        <v>1577</v>
      </c>
      <c r="D70" s="9"/>
      <c r="E70" s="164"/>
    </row>
    <row r="71" spans="2:5">
      <c r="B71" s="121" t="s">
        <v>510</v>
      </c>
      <c r="C71" s="124" t="s">
        <v>1578</v>
      </c>
      <c r="D71" s="9"/>
      <c r="E71" s="165"/>
    </row>
    <row r="72" spans="2:5">
      <c r="B72" s="121" t="s">
        <v>511</v>
      </c>
      <c r="C72" s="124" t="s">
        <v>1579</v>
      </c>
      <c r="D72" s="9"/>
    </row>
    <row r="73" spans="2:5">
      <c r="B73" s="121" t="s">
        <v>512</v>
      </c>
      <c r="C73" s="124" t="s">
        <v>1580</v>
      </c>
      <c r="D73" s="9"/>
    </row>
    <row r="74" spans="2:5">
      <c r="B74" s="121" t="s">
        <v>513</v>
      </c>
      <c r="C74" s="124" t="s">
        <v>1581</v>
      </c>
      <c r="D74" s="9"/>
    </row>
    <row r="75" spans="2:5">
      <c r="B75" s="121" t="s">
        <v>514</v>
      </c>
      <c r="C75" s="124" t="s">
        <v>1582</v>
      </c>
      <c r="D75" s="9"/>
    </row>
    <row r="76" spans="2:5">
      <c r="B76" s="121" t="s">
        <v>515</v>
      </c>
      <c r="C76" s="126" t="s">
        <v>1583</v>
      </c>
      <c r="D76" s="9"/>
    </row>
    <row r="77" spans="2:5">
      <c r="B77" s="121" t="s">
        <v>521</v>
      </c>
      <c r="C77" s="124" t="s">
        <v>1517</v>
      </c>
      <c r="D77" s="9"/>
    </row>
    <row r="78" spans="2:5">
      <c r="B78" s="121"/>
      <c r="C78" s="129"/>
      <c r="D78" s="125"/>
    </row>
    <row r="79" spans="2:5">
      <c r="B79" s="130" t="s">
        <v>522</v>
      </c>
      <c r="C79" s="122" t="s">
        <v>1584</v>
      </c>
      <c r="D79" s="131">
        <f>SUM(D80:D88)</f>
        <v>0</v>
      </c>
    </row>
    <row r="80" spans="2:5">
      <c r="B80" s="130" t="s">
        <v>523</v>
      </c>
      <c r="C80" s="124" t="s">
        <v>1523</v>
      </c>
      <c r="D80" s="487"/>
    </row>
    <row r="81" spans="2:4">
      <c r="B81" s="130" t="s">
        <v>524</v>
      </c>
      <c r="C81" s="124" t="s">
        <v>1577</v>
      </c>
      <c r="D81" s="487"/>
    </row>
    <row r="82" spans="2:4">
      <c r="B82" s="130" t="s">
        <v>525</v>
      </c>
      <c r="C82" s="124" t="s">
        <v>1578</v>
      </c>
      <c r="D82" s="9"/>
    </row>
    <row r="83" spans="2:4">
      <c r="B83" s="130" t="s">
        <v>526</v>
      </c>
      <c r="C83" s="124" t="s">
        <v>1579</v>
      </c>
      <c r="D83" s="9"/>
    </row>
    <row r="84" spans="2:4">
      <c r="B84" s="130" t="s">
        <v>527</v>
      </c>
      <c r="C84" s="126" t="s">
        <v>1585</v>
      </c>
      <c r="D84" s="9"/>
    </row>
    <row r="85" spans="2:4">
      <c r="B85" s="130" t="s">
        <v>528</v>
      </c>
      <c r="C85" s="124" t="s">
        <v>1586</v>
      </c>
      <c r="D85" s="9"/>
    </row>
    <row r="86" spans="2:4">
      <c r="B86" s="130" t="s">
        <v>529</v>
      </c>
      <c r="C86" s="126" t="s">
        <v>1518</v>
      </c>
      <c r="D86" s="9"/>
    </row>
    <row r="87" spans="2:4">
      <c r="B87" s="130" t="s">
        <v>530</v>
      </c>
      <c r="C87" s="126" t="s">
        <v>1583</v>
      </c>
      <c r="D87" s="9"/>
    </row>
    <row r="88" spans="2:4">
      <c r="B88" s="130" t="s">
        <v>531</v>
      </c>
      <c r="C88" s="124" t="s">
        <v>1768</v>
      </c>
      <c r="D88" s="9"/>
    </row>
    <row r="89" spans="2:4">
      <c r="B89" s="130" t="s">
        <v>532</v>
      </c>
      <c r="C89" s="122" t="s">
        <v>1558</v>
      </c>
      <c r="D89" s="131">
        <f>+D68-D79</f>
        <v>0</v>
      </c>
    </row>
    <row r="90" spans="2:4">
      <c r="B90" s="130"/>
      <c r="C90" s="122"/>
      <c r="D90" s="132"/>
    </row>
    <row r="91" spans="2:4">
      <c r="B91" s="130" t="s">
        <v>533</v>
      </c>
      <c r="C91" s="122" t="s">
        <v>1587</v>
      </c>
      <c r="D91" s="133">
        <f>+D92+SUM(D96:D99)+D100+D103+D107+D108+D109</f>
        <v>0</v>
      </c>
    </row>
    <row r="92" spans="2:4">
      <c r="B92" s="130" t="s">
        <v>534</v>
      </c>
      <c r="C92" s="128" t="s">
        <v>1588</v>
      </c>
      <c r="D92" s="131">
        <f>SUM(D93:D95)</f>
        <v>0</v>
      </c>
    </row>
    <row r="93" spans="2:4">
      <c r="B93" s="130" t="s">
        <v>535</v>
      </c>
      <c r="C93" s="126" t="s">
        <v>1589</v>
      </c>
      <c r="D93" s="9"/>
    </row>
    <row r="94" spans="2:4">
      <c r="B94" s="130" t="s">
        <v>536</v>
      </c>
      <c r="C94" s="126" t="s">
        <v>1590</v>
      </c>
      <c r="D94" s="9"/>
    </row>
    <row r="95" spans="2:4">
      <c r="B95" s="130" t="s">
        <v>537</v>
      </c>
      <c r="C95" s="126" t="s">
        <v>1591</v>
      </c>
      <c r="D95" s="9"/>
    </row>
    <row r="96" spans="2:4">
      <c r="B96" s="130" t="s">
        <v>538</v>
      </c>
      <c r="C96" s="126" t="s">
        <v>1592</v>
      </c>
      <c r="D96" s="9"/>
    </row>
    <row r="97" spans="2:4">
      <c r="B97" s="130" t="s">
        <v>539</v>
      </c>
      <c r="C97" s="126" t="s">
        <v>1593</v>
      </c>
      <c r="D97" s="9"/>
    </row>
    <row r="98" spans="2:4">
      <c r="B98" s="130" t="s">
        <v>540</v>
      </c>
      <c r="C98" s="126" t="s">
        <v>1519</v>
      </c>
      <c r="D98" s="9"/>
    </row>
    <row r="99" spans="2:4">
      <c r="B99" s="130" t="s">
        <v>541</v>
      </c>
      <c r="C99" s="126" t="s">
        <v>1594</v>
      </c>
      <c r="D99" s="9"/>
    </row>
    <row r="100" spans="2:4">
      <c r="B100" s="130" t="s">
        <v>542</v>
      </c>
      <c r="C100" s="128" t="s">
        <v>1595</v>
      </c>
      <c r="D100" s="131">
        <f>+D101+D102</f>
        <v>0</v>
      </c>
    </row>
    <row r="101" spans="2:4">
      <c r="B101" s="130" t="s">
        <v>543</v>
      </c>
      <c r="C101" s="126" t="s">
        <v>1744</v>
      </c>
      <c r="D101" s="9"/>
    </row>
    <row r="102" spans="2:4">
      <c r="B102" s="130" t="s">
        <v>544</v>
      </c>
      <c r="C102" s="126" t="s">
        <v>1768</v>
      </c>
      <c r="D102" s="9"/>
    </row>
    <row r="103" spans="2:4">
      <c r="B103" s="130" t="s">
        <v>545</v>
      </c>
      <c r="C103" s="128" t="s">
        <v>1596</v>
      </c>
      <c r="D103" s="131">
        <f>SUM(D104:D106)</f>
        <v>0</v>
      </c>
    </row>
    <row r="104" spans="2:4">
      <c r="B104" s="130" t="s">
        <v>547</v>
      </c>
      <c r="C104" s="126" t="s">
        <v>1597</v>
      </c>
      <c r="D104" s="9"/>
    </row>
    <row r="105" spans="2:4">
      <c r="B105" s="130" t="s">
        <v>548</v>
      </c>
      <c r="C105" s="126" t="s">
        <v>1598</v>
      </c>
      <c r="D105" s="9"/>
    </row>
    <row r="106" spans="2:4">
      <c r="B106" s="130" t="s">
        <v>549</v>
      </c>
      <c r="C106" s="134" t="s">
        <v>1599</v>
      </c>
      <c r="D106" s="9"/>
    </row>
    <row r="107" spans="2:4">
      <c r="B107" s="130" t="s">
        <v>550</v>
      </c>
      <c r="C107" s="126" t="s">
        <v>1600</v>
      </c>
      <c r="D107" s="9"/>
    </row>
    <row r="108" spans="2:4">
      <c r="B108" s="130" t="s">
        <v>551</v>
      </c>
      <c r="C108" s="126" t="s">
        <v>1601</v>
      </c>
      <c r="D108" s="9"/>
    </row>
    <row r="109" spans="2:4">
      <c r="B109" s="130" t="s">
        <v>552</v>
      </c>
      <c r="C109" s="126" t="s">
        <v>1602</v>
      </c>
      <c r="D109" s="9"/>
    </row>
    <row r="110" spans="2:4">
      <c r="B110" s="130"/>
      <c r="C110" s="135"/>
      <c r="D110" s="132"/>
    </row>
    <row r="111" spans="2:4">
      <c r="B111" s="130" t="s">
        <v>553</v>
      </c>
      <c r="C111" s="122" t="s">
        <v>1603</v>
      </c>
      <c r="D111" s="131">
        <f>SUM(D112:D118)</f>
        <v>0</v>
      </c>
    </row>
    <row r="112" spans="2:4">
      <c r="B112" s="130" t="s">
        <v>554</v>
      </c>
      <c r="C112" s="124" t="s">
        <v>1604</v>
      </c>
      <c r="D112" s="9"/>
    </row>
    <row r="113" spans="2:4">
      <c r="B113" s="130" t="s">
        <v>555</v>
      </c>
      <c r="C113" s="126" t="s">
        <v>1605</v>
      </c>
      <c r="D113" s="9"/>
    </row>
    <row r="114" spans="2:4">
      <c r="B114" s="130" t="s">
        <v>1606</v>
      </c>
      <c r="C114" s="126" t="s">
        <v>1607</v>
      </c>
      <c r="D114" s="9"/>
    </row>
    <row r="115" spans="2:4">
      <c r="B115" s="130" t="s">
        <v>556</v>
      </c>
      <c r="C115" s="124" t="s">
        <v>1608</v>
      </c>
      <c r="D115" s="9">
        <v>0</v>
      </c>
    </row>
    <row r="116" spans="2:4">
      <c r="B116" s="130" t="s">
        <v>557</v>
      </c>
      <c r="C116" s="124" t="s">
        <v>1609</v>
      </c>
      <c r="D116" s="9">
        <v>0</v>
      </c>
    </row>
    <row r="117" spans="2:4">
      <c r="B117" s="130" t="s">
        <v>558</v>
      </c>
      <c r="C117" s="124" t="s">
        <v>1610</v>
      </c>
      <c r="D117" s="9">
        <v>0</v>
      </c>
    </row>
    <row r="118" spans="2:4">
      <c r="B118" s="130" t="s">
        <v>559</v>
      </c>
      <c r="C118" s="124" t="s">
        <v>1611</v>
      </c>
      <c r="D118" s="9"/>
    </row>
    <row r="119" spans="2:4">
      <c r="B119" s="130" t="s">
        <v>562</v>
      </c>
      <c r="C119" s="122" t="s">
        <v>1612</v>
      </c>
      <c r="D119" s="131">
        <f>SUM(D120:D126)</f>
        <v>0</v>
      </c>
    </row>
    <row r="120" spans="2:4">
      <c r="B120" s="130" t="s">
        <v>563</v>
      </c>
      <c r="C120" s="124" t="s">
        <v>1604</v>
      </c>
      <c r="D120" s="9"/>
    </row>
    <row r="121" spans="2:4">
      <c r="B121" s="130" t="s">
        <v>564</v>
      </c>
      <c r="C121" s="124" t="s">
        <v>1605</v>
      </c>
      <c r="D121" s="9">
        <v>0</v>
      </c>
    </row>
    <row r="122" spans="2:4">
      <c r="B122" s="130" t="s">
        <v>1613</v>
      </c>
      <c r="C122" s="124" t="s">
        <v>1607</v>
      </c>
      <c r="D122" s="9"/>
    </row>
    <row r="123" spans="2:4">
      <c r="B123" s="130" t="s">
        <v>565</v>
      </c>
      <c r="C123" s="124" t="s">
        <v>1614</v>
      </c>
      <c r="D123" s="9">
        <v>0</v>
      </c>
    </row>
    <row r="124" spans="2:4">
      <c r="B124" s="130" t="s">
        <v>566</v>
      </c>
      <c r="C124" s="124" t="s">
        <v>1609</v>
      </c>
      <c r="D124" s="9">
        <v>0</v>
      </c>
    </row>
    <row r="125" spans="2:4">
      <c r="B125" s="130" t="s">
        <v>567</v>
      </c>
      <c r="C125" s="124" t="s">
        <v>1610</v>
      </c>
      <c r="D125" s="9">
        <v>0</v>
      </c>
    </row>
    <row r="126" spans="2:4">
      <c r="B126" s="130" t="s">
        <v>568</v>
      </c>
      <c r="C126" s="124" t="s">
        <v>1611</v>
      </c>
      <c r="D126" s="9"/>
    </row>
    <row r="127" spans="2:4">
      <c r="B127" s="130" t="s">
        <v>328</v>
      </c>
      <c r="C127" s="122" t="s">
        <v>1740</v>
      </c>
      <c r="D127" s="131">
        <f>+D40+D47+D54+D61+D66+D89-D91-D111+D119</f>
        <v>0</v>
      </c>
    </row>
    <row r="128" spans="2:4">
      <c r="B128" s="130"/>
      <c r="C128" s="122"/>
      <c r="D128" s="60">
        <v>0</v>
      </c>
    </row>
    <row r="129" spans="2:4">
      <c r="B129" s="130" t="s">
        <v>801</v>
      </c>
      <c r="C129" s="122" t="s">
        <v>1741</v>
      </c>
      <c r="D129" s="9"/>
    </row>
    <row r="130" spans="2:4">
      <c r="B130" s="130"/>
      <c r="C130" s="127"/>
      <c r="D130" s="132"/>
    </row>
    <row r="131" spans="2:4">
      <c r="B131" s="130" t="s">
        <v>476</v>
      </c>
      <c r="C131" s="122" t="s">
        <v>1060</v>
      </c>
      <c r="D131" s="131">
        <f>+D127-D129</f>
        <v>0</v>
      </c>
    </row>
    <row r="132" spans="2:4">
      <c r="B132" s="130"/>
      <c r="C132" s="122"/>
      <c r="D132" s="132"/>
    </row>
    <row r="133" spans="2:4">
      <c r="B133" s="130" t="s">
        <v>259</v>
      </c>
      <c r="C133" s="122" t="s">
        <v>1061</v>
      </c>
      <c r="D133" s="132">
        <v>0</v>
      </c>
    </row>
    <row r="134" spans="2:4">
      <c r="B134" s="130"/>
      <c r="C134" s="122"/>
      <c r="D134" s="132"/>
    </row>
    <row r="135" spans="2:4">
      <c r="B135" s="130" t="s">
        <v>57</v>
      </c>
      <c r="C135" s="122" t="s">
        <v>985</v>
      </c>
      <c r="D135" s="131">
        <f>+D131+D133</f>
        <v>0</v>
      </c>
    </row>
  </sheetData>
  <sheetProtection password="E9D4" sheet="1" objects="1" scenarios="1"/>
  <customSheetViews>
    <customSheetView guid="{871F8275-217B-436F-8813-871F820F0EE4}" scale="85" showPageBreaks="1" showGridLines="0" printArea="1" view="pageBreakPreview" topLeftCell="A106">
      <selection activeCell="D129" sqref="D129"/>
      <rowBreaks count="2" manualBreakCount="2">
        <brk id="55" max="3" man="1"/>
        <brk id="110" max="3" man="1"/>
      </rowBreaks>
      <pageMargins left="0.39370078740157483" right="0.39370078740157483" top="0.39370078740157483" bottom="0.39370078740157483" header="0.19685039370078741" footer="0.19685039370078741"/>
      <pageSetup paperSize="9" scale="80" fitToHeight="2" orientation="portrait" r:id="rId1"/>
      <headerFooter alignWithMargins="0">
        <oddFooter>&amp;L&amp;7&amp;D&amp;C&amp;7&amp;P&amp;R&amp;7&amp;F</oddFooter>
      </headerFooter>
    </customSheetView>
    <customSheetView guid="{2EBF18CB-80C9-43ED-A978-2AAEAC40933E}" scale="75" showGridLines="0" showRuler="0" topLeftCell="A67">
      <selection activeCell="D92" sqref="D92"/>
      <rowBreaks count="2" manualBreakCount="2">
        <brk id="55" max="3" man="1"/>
        <brk id="110" max="3" man="1"/>
      </rowBreaks>
      <pageMargins left="0.39370078740157483" right="0.39370078740157483" top="0.39370078740157483" bottom="0.39370078740157483" header="0.19685039370078741" footer="0.19685039370078741"/>
      <pageSetup paperSize="9" scale="80" fitToHeight="2" orientation="portrait" horizontalDpi="300" verticalDpi="300" r:id="rId2"/>
      <headerFooter alignWithMargins="0">
        <oddFooter>&amp;L&amp;7&amp;D&amp;C&amp;7&amp;P&amp;R&amp;7&amp;F</oddFooter>
      </headerFooter>
    </customSheetView>
    <customSheetView guid="{47D3AB49-9599-4A16-951B-F48FEC1C0136}" scale="75" showGridLines="0" topLeftCell="A110">
      <selection activeCell="C133" sqref="C133"/>
      <rowBreaks count="2" manualBreakCount="2">
        <brk id="55" max="3" man="1"/>
        <brk id="110" max="3" man="1"/>
      </rowBreaks>
      <pageMargins left="0.39370078740157483" right="0.39370078740157483" top="0.39370078740157483" bottom="0.39370078740157483" header="0.19685039370078741" footer="0.19685039370078741"/>
      <pageSetup paperSize="9" scale="80" fitToHeight="2" orientation="portrait" horizontalDpi="300" verticalDpi="300" r:id="rId3"/>
      <headerFooter alignWithMargins="0">
        <oddFooter>&amp;L&amp;7&amp;D&amp;C&amp;7&amp;P&amp;R&amp;7&amp;F</oddFooter>
      </headerFooter>
    </customSheetView>
    <customSheetView guid="{ECE607A2-8A26-46E0-8BDC-E9AD788F604C}" scale="85" showPageBreaks="1" showGridLines="0" printArea="1" view="pageBreakPreview" topLeftCell="A76">
      <selection activeCell="D127" sqref="D127"/>
      <rowBreaks count="2" manualBreakCount="2">
        <brk id="55" max="3" man="1"/>
        <brk id="110" max="3" man="1"/>
      </rowBreaks>
      <pageMargins left="0.39370078740157483" right="0.39370078740157483" top="0.39370078740157483" bottom="0.39370078740157483" header="0.19685039370078741" footer="0.19685039370078741"/>
      <pageSetup paperSize="9" scale="80" fitToHeight="2" orientation="portrait" r:id="rId4"/>
      <headerFooter alignWithMargins="0">
        <oddFooter>&amp;L&amp;7&amp;D&amp;C&amp;7&amp;P&amp;R&amp;7&amp;F</oddFooter>
      </headerFooter>
    </customSheetView>
    <customSheetView guid="{FB1E0752-409C-4E7D-BCFE-7AEBEB8B5F0D}" scale="85" showPageBreaks="1" showGridLines="0" printArea="1" view="pageBreakPreview" topLeftCell="A19">
      <selection activeCell="C92" sqref="C92"/>
      <rowBreaks count="2" manualBreakCount="2">
        <brk id="55" max="3" man="1"/>
        <brk id="110" max="3" man="1"/>
      </rowBreaks>
      <pageMargins left="0.39370078740157483" right="0.39370078740157483" top="0.39370078740157483" bottom="0.39370078740157483" header="0.19685039370078741" footer="0.19685039370078741"/>
      <pageSetup paperSize="9" scale="80" fitToHeight="2" orientation="portrait" r:id="rId5"/>
      <headerFooter alignWithMargins="0">
        <oddFooter>&amp;L&amp;7&amp;D&amp;C&amp;7&amp;P&amp;R&amp;7&amp;F</oddFooter>
      </headerFooter>
    </customSheetView>
  </customSheetViews>
  <mergeCells count="2">
    <mergeCell ref="D3:E3"/>
    <mergeCell ref="C1:D1"/>
  </mergeCells>
  <phoneticPr fontId="0" type="noConversion"/>
  <pageMargins left="0.39370078740157483" right="0.39370078740157483" top="0.39370078740157483" bottom="0.39370078740157483" header="0.19685039370078741" footer="0.19685039370078741"/>
  <pageSetup paperSize="9" scale="80" fitToHeight="2" orientation="portrait" r:id="rId6"/>
  <headerFooter alignWithMargins="0">
    <oddFooter>&amp;L&amp;7&amp;D&amp;C&amp;7&amp;P&amp;R&amp;7&amp;F</oddFooter>
  </headerFooter>
  <rowBreaks count="2" manualBreakCount="2">
    <brk id="55" max="3" man="1"/>
    <brk id="110" max="3" man="1"/>
  </rowBreaks>
</worksheet>
</file>

<file path=xl/worksheets/sheet12.xml><?xml version="1.0" encoding="utf-8"?>
<worksheet xmlns="http://schemas.openxmlformats.org/spreadsheetml/2006/main" xmlns:r="http://schemas.openxmlformats.org/officeDocument/2006/relationships">
  <sheetPr codeName="Лист12"/>
  <dimension ref="B1:D27"/>
  <sheetViews>
    <sheetView workbookViewId="0"/>
  </sheetViews>
  <sheetFormatPr defaultRowHeight="18"/>
  <cols>
    <col min="1" max="1" width="1.42578125" style="91" customWidth="1"/>
    <col min="2" max="2" width="10.42578125" style="91" bestFit="1" customWidth="1"/>
    <col min="3" max="3" width="81" style="91" customWidth="1"/>
    <col min="4" max="4" width="20.7109375" style="91" customWidth="1"/>
    <col min="5" max="16384" width="9.140625" style="91"/>
  </cols>
  <sheetData>
    <row r="1" spans="2:4" s="87" customFormat="1" ht="31.5" customHeight="1">
      <c r="B1" s="836"/>
      <c r="C1" s="1156" t="s">
        <v>1856</v>
      </c>
      <c r="D1" s="1157"/>
    </row>
    <row r="2" spans="2:4" s="87" customFormat="1">
      <c r="B2" s="836"/>
      <c r="C2" s="39" t="str">
        <f>T!E18</f>
        <v>Номгӯи ташкилоти қарзӣ</v>
      </c>
      <c r="D2" s="37"/>
    </row>
    <row r="3" spans="2:4" s="87" customFormat="1">
      <c r="B3" s="836"/>
      <c r="C3" s="105" t="str">
        <f>T!B10</f>
        <v>Ҳисобот дар санаи</v>
      </c>
      <c r="D3" s="837"/>
    </row>
    <row r="4" spans="2:4" s="87" customFormat="1">
      <c r="B4" s="838"/>
      <c r="C4" s="144" t="str">
        <f>'List of Scedules'!B11</f>
        <v>ҶАДВАЛИ 03.01. ТАҒЙИРОТ ДАР САРМОЯ</v>
      </c>
      <c r="D4" s="839"/>
    </row>
    <row r="5" spans="2:4" s="87" customFormat="1" ht="19.5">
      <c r="B5" s="838"/>
      <c r="C5" s="839"/>
      <c r="D5" s="840"/>
    </row>
    <row r="6" spans="2:4">
      <c r="B6" s="136"/>
      <c r="C6" s="137"/>
      <c r="D6" s="5" t="s">
        <v>1268</v>
      </c>
    </row>
    <row r="7" spans="2:4">
      <c r="B7" s="138" t="s">
        <v>331</v>
      </c>
      <c r="C7" s="139" t="s">
        <v>1615</v>
      </c>
      <c r="D7" s="140"/>
    </row>
    <row r="8" spans="2:4" ht="36">
      <c r="B8" s="138" t="s">
        <v>332</v>
      </c>
      <c r="C8" s="141" t="s">
        <v>1616</v>
      </c>
      <c r="D8" s="140"/>
    </row>
    <row r="9" spans="2:4">
      <c r="B9" s="138" t="s">
        <v>333</v>
      </c>
      <c r="C9" s="139" t="s">
        <v>1617</v>
      </c>
      <c r="D9" s="142">
        <f>+D7+D8</f>
        <v>0</v>
      </c>
    </row>
    <row r="10" spans="2:4">
      <c r="B10" s="138" t="s">
        <v>334</v>
      </c>
      <c r="C10" s="143" t="s">
        <v>209</v>
      </c>
      <c r="D10" s="9"/>
    </row>
    <row r="11" spans="2:4">
      <c r="B11" s="138" t="s">
        <v>335</v>
      </c>
      <c r="C11" s="143" t="s">
        <v>1618</v>
      </c>
      <c r="D11" s="140">
        <v>0</v>
      </c>
    </row>
    <row r="12" spans="2:4">
      <c r="B12" s="138" t="s">
        <v>336</v>
      </c>
      <c r="C12" s="143" t="s">
        <v>1062</v>
      </c>
      <c r="D12" s="140">
        <v>0</v>
      </c>
    </row>
    <row r="13" spans="2:4">
      <c r="B13" s="138" t="s">
        <v>337</v>
      </c>
      <c r="C13" s="143" t="s">
        <v>1619</v>
      </c>
      <c r="D13" s="140">
        <v>0</v>
      </c>
    </row>
    <row r="14" spans="2:4">
      <c r="B14" s="138" t="s">
        <v>338</v>
      </c>
      <c r="C14" s="139" t="s">
        <v>1620</v>
      </c>
      <c r="D14" s="142">
        <f>SUM(D15:D23)</f>
        <v>0</v>
      </c>
    </row>
    <row r="15" spans="2:4">
      <c r="B15" s="138" t="s">
        <v>339</v>
      </c>
      <c r="C15" s="79" t="s">
        <v>1621</v>
      </c>
      <c r="D15" s="140">
        <v>0</v>
      </c>
    </row>
    <row r="16" spans="2:4">
      <c r="B16" s="138" t="s">
        <v>340</v>
      </c>
      <c r="C16" s="79" t="s">
        <v>211</v>
      </c>
      <c r="D16" s="140">
        <v>0</v>
      </c>
    </row>
    <row r="17" spans="2:4">
      <c r="B17" s="138" t="s">
        <v>341</v>
      </c>
      <c r="C17" s="79" t="s">
        <v>212</v>
      </c>
      <c r="D17" s="140">
        <v>0</v>
      </c>
    </row>
    <row r="18" spans="2:4">
      <c r="B18" s="138" t="s">
        <v>342</v>
      </c>
      <c r="C18" s="79" t="s">
        <v>734</v>
      </c>
      <c r="D18" s="140">
        <v>0</v>
      </c>
    </row>
    <row r="19" spans="2:4">
      <c r="B19" s="1053" t="s">
        <v>2300</v>
      </c>
      <c r="C19" s="1043" t="s">
        <v>2281</v>
      </c>
      <c r="D19" s="1054">
        <v>0</v>
      </c>
    </row>
    <row r="20" spans="2:4">
      <c r="B20" s="138" t="s">
        <v>343</v>
      </c>
      <c r="C20" s="79" t="s">
        <v>1622</v>
      </c>
      <c r="D20" s="140">
        <v>0</v>
      </c>
    </row>
    <row r="21" spans="2:4">
      <c r="B21" s="1053" t="s">
        <v>2301</v>
      </c>
      <c r="C21" s="1043" t="s">
        <v>2282</v>
      </c>
      <c r="D21" s="1054">
        <v>0</v>
      </c>
    </row>
    <row r="22" spans="2:4">
      <c r="B22" s="138" t="s">
        <v>344</v>
      </c>
      <c r="C22" s="81" t="s">
        <v>214</v>
      </c>
      <c r="D22" s="140">
        <v>0</v>
      </c>
    </row>
    <row r="23" spans="2:4">
      <c r="B23" s="138" t="s">
        <v>346</v>
      </c>
      <c r="C23" s="79" t="s">
        <v>215</v>
      </c>
      <c r="D23" s="140">
        <v>0</v>
      </c>
    </row>
    <row r="24" spans="2:4">
      <c r="B24" s="138" t="s">
        <v>347</v>
      </c>
      <c r="C24" s="143" t="s">
        <v>1623</v>
      </c>
      <c r="D24" s="140">
        <v>0</v>
      </c>
    </row>
    <row r="25" spans="2:4">
      <c r="B25" s="138" t="s">
        <v>262</v>
      </c>
      <c r="C25" s="143" t="s">
        <v>1624</v>
      </c>
      <c r="D25" s="140">
        <v>0</v>
      </c>
    </row>
    <row r="26" spans="2:4">
      <c r="B26" s="138" t="s">
        <v>263</v>
      </c>
      <c r="C26" s="143" t="s">
        <v>1625</v>
      </c>
      <c r="D26" s="140"/>
    </row>
    <row r="27" spans="2:4">
      <c r="B27" s="138" t="s">
        <v>264</v>
      </c>
      <c r="C27" s="139" t="s">
        <v>1626</v>
      </c>
      <c r="D27" s="142">
        <f>+D9+D10+D11+D12-D13+D14-D24-D25+D26</f>
        <v>0</v>
      </c>
    </row>
  </sheetData>
  <sheetProtection password="E9D4" sheet="1" objects="1" scenarios="1"/>
  <customSheetViews>
    <customSheetView guid="{871F8275-217B-436F-8813-871F820F0EE4}" scale="85" showPageBreaks="1" showGridLines="0" view="pageBreakPreview" topLeftCell="A3">
      <selection activeCell="D11" sqref="D11"/>
      <pageMargins left="0.39370078740157483" right="0.39370078740157483" top="0.39370078740157483" bottom="0.39370078740157483" header="0.19685039370078741" footer="0.19685039370078741"/>
      <pageSetup paperSize="9" scale="85" orientation="portrait" r:id="rId1"/>
      <headerFooter alignWithMargins="0">
        <oddFooter>&amp;L&amp;7&amp;D&amp;C&amp;7&amp;P&amp;R&amp;7&amp;F</oddFooter>
      </headerFooter>
    </customSheetView>
    <customSheetView guid="{2EBF18CB-80C9-43ED-A978-2AAEAC40933E}" scale="75" showGridLines="0" showRuler="0">
      <selection activeCell="C18" sqref="C18"/>
      <pageMargins left="0.39370078740157483" right="0.39370078740157483" top="0.39370078740157483" bottom="0.39370078740157483" header="0.19685039370078741" footer="0.19685039370078741"/>
      <pageSetup paperSize="9" scale="85" orientation="portrait" horizontalDpi="300" verticalDpi="300" r:id="rId2"/>
      <headerFooter alignWithMargins="0">
        <oddFooter>&amp;L&amp;7&amp;D&amp;C&amp;7&amp;P&amp;R&amp;7&amp;F</oddFooter>
      </headerFooter>
    </customSheetView>
    <customSheetView guid="{47D3AB49-9599-4A16-951B-F48FEC1C0136}" scale="75" showGridLines="0" topLeftCell="A3">
      <selection activeCell="D11" sqref="D11"/>
      <pageMargins left="0.39370078740157483" right="0.39370078740157483" top="0.39370078740157483" bottom="0.39370078740157483" header="0.19685039370078741" footer="0.19685039370078741"/>
      <pageSetup paperSize="9" scale="85" orientation="portrait" horizontalDpi="300" verticalDpi="300" r:id="rId3"/>
      <headerFooter alignWithMargins="0">
        <oddFooter>&amp;L&amp;7&amp;D&amp;C&amp;7&amp;P&amp;R&amp;7&amp;F</oddFooter>
      </headerFooter>
    </customSheetView>
    <customSheetView guid="{ECE607A2-8A26-46E0-8BDC-E9AD788F604C}" scale="85" showPageBreaks="1" showGridLines="0" view="pageBreakPreview">
      <selection activeCell="D12" sqref="D12"/>
      <pageMargins left="0.39370078740157483" right="0.39370078740157483" top="0.39370078740157483" bottom="0.39370078740157483" header="0.19685039370078741" footer="0.19685039370078741"/>
      <pageSetup paperSize="9" scale="85" orientation="portrait" r:id="rId4"/>
      <headerFooter alignWithMargins="0">
        <oddFooter>&amp;L&amp;7&amp;D&amp;C&amp;7&amp;P&amp;R&amp;7&amp;F</oddFooter>
      </headerFooter>
    </customSheetView>
    <customSheetView guid="{FB1E0752-409C-4E7D-BCFE-7AEBEB8B5F0D}" scale="85" showPageBreaks="1" showGridLines="0" view="pageBreakPreview" topLeftCell="A3">
      <selection activeCell="D11" sqref="D11"/>
      <pageMargins left="0.39370078740157483" right="0.39370078740157483" top="0.39370078740157483" bottom="0.39370078740157483" header="0.19685039370078741" footer="0.19685039370078741"/>
      <pageSetup paperSize="9" scale="85" orientation="portrait" r:id="rId5"/>
      <headerFooter alignWithMargins="0">
        <oddFooter>&amp;L&amp;7&amp;D&amp;C&amp;7&amp;P&amp;R&amp;7&amp;F</oddFooter>
      </headerFooter>
    </customSheetView>
  </customSheetViews>
  <mergeCells count="1">
    <mergeCell ref="C1:D1"/>
  </mergeCells>
  <phoneticPr fontId="0" type="noConversion"/>
  <pageMargins left="0.39370078740157483" right="0.39370078740157483" top="0.39370078740157483" bottom="0.39370078740157483" header="0.19685039370078741" footer="0.19685039370078741"/>
  <pageSetup paperSize="9" scale="85" orientation="portrait" r:id="rId6"/>
  <headerFooter alignWithMargins="0">
    <oddFooter>&amp;L&amp;7&amp;D&amp;C&amp;7&amp;P&amp;R&amp;7&amp;F</oddFooter>
  </headerFooter>
</worksheet>
</file>

<file path=xl/worksheets/sheet13.xml><?xml version="1.0" encoding="utf-8"?>
<worksheet xmlns="http://schemas.openxmlformats.org/spreadsheetml/2006/main" xmlns:r="http://schemas.openxmlformats.org/officeDocument/2006/relationships">
  <sheetPr codeName="Лист13"/>
  <dimension ref="B1:E85"/>
  <sheetViews>
    <sheetView workbookViewId="0"/>
  </sheetViews>
  <sheetFormatPr defaultRowHeight="18"/>
  <cols>
    <col min="1" max="1" width="2.28515625" style="91" customWidth="1"/>
    <col min="2" max="2" width="10.42578125" style="91" bestFit="1" customWidth="1"/>
    <col min="3" max="3" width="95.5703125" style="91" customWidth="1"/>
    <col min="4" max="5" width="20.7109375" style="91" customWidth="1"/>
    <col min="6" max="16384" width="9.140625" style="91"/>
  </cols>
  <sheetData>
    <row r="1" spans="2:5" s="87" customFormat="1" ht="31.5" customHeight="1">
      <c r="B1" s="186"/>
      <c r="C1" s="187"/>
      <c r="D1" s="1167" t="s">
        <v>1857</v>
      </c>
      <c r="E1" s="1168"/>
    </row>
    <row r="2" spans="2:5" s="87" customFormat="1">
      <c r="B2" s="186"/>
      <c r="C2" s="39" t="str">
        <f>T!E18</f>
        <v>Номгӯи ташкилоти қарзӣ</v>
      </c>
      <c r="D2" s="841"/>
      <c r="E2" s="37"/>
    </row>
    <row r="3" spans="2:5" s="87" customFormat="1">
      <c r="B3" s="186"/>
      <c r="C3" s="105" t="str">
        <f>T!B10</f>
        <v>Ҳисобот дар санаи</v>
      </c>
      <c r="D3" s="841"/>
      <c r="E3" s="842"/>
    </row>
    <row r="4" spans="2:5" s="87" customFormat="1">
      <c r="B4" s="186"/>
      <c r="C4" s="188" t="str">
        <f>'List of Scedules'!B12</f>
        <v>ҶАДВАЛИ 04.01. КОҒАЗҲОИ ҚИМАТНОК ВА САРМОЯГУЗОРӢ</v>
      </c>
      <c r="D4" s="841"/>
      <c r="E4" s="842"/>
    </row>
    <row r="5" spans="2:5" s="87" customFormat="1" ht="19.5">
      <c r="B5" s="189"/>
      <c r="C5" s="190"/>
      <c r="D5" s="1186"/>
      <c r="E5" s="1186"/>
    </row>
    <row r="6" spans="2:5" ht="36">
      <c r="B6" s="166"/>
      <c r="C6" s="167" t="s">
        <v>1066</v>
      </c>
      <c r="D6" s="5" t="s">
        <v>1268</v>
      </c>
      <c r="E6" s="6" t="s">
        <v>1269</v>
      </c>
    </row>
    <row r="7" spans="2:5">
      <c r="B7" s="168" t="s">
        <v>345</v>
      </c>
      <c r="C7" s="169" t="s">
        <v>1067</v>
      </c>
      <c r="D7" s="170">
        <f>+D8+D34+D60</f>
        <v>0</v>
      </c>
      <c r="E7" s="170">
        <f>+E8+E34+E60</f>
        <v>0</v>
      </c>
    </row>
    <row r="8" spans="2:5">
      <c r="B8" s="168" t="s">
        <v>348</v>
      </c>
      <c r="C8" s="171" t="s">
        <v>1068</v>
      </c>
      <c r="D8" s="170">
        <f>+D9+D25</f>
        <v>0</v>
      </c>
      <c r="E8" s="170">
        <f>+E9+E25</f>
        <v>0</v>
      </c>
    </row>
    <row r="9" spans="2:5">
      <c r="B9" s="168" t="s">
        <v>349</v>
      </c>
      <c r="C9" s="172" t="s">
        <v>1069</v>
      </c>
      <c r="D9" s="170">
        <f>SUM(D10:D23)</f>
        <v>0</v>
      </c>
      <c r="E9" s="170">
        <f>SUM(E10:E23)</f>
        <v>0</v>
      </c>
    </row>
    <row r="10" spans="2:5">
      <c r="B10" s="168" t="s">
        <v>350</v>
      </c>
      <c r="C10" s="173" t="s">
        <v>1627</v>
      </c>
      <c r="D10" s="174">
        <v>0</v>
      </c>
      <c r="E10" s="175">
        <v>0</v>
      </c>
    </row>
    <row r="11" spans="2:5">
      <c r="B11" s="168" t="s">
        <v>351</v>
      </c>
      <c r="C11" s="173" t="s">
        <v>1628</v>
      </c>
      <c r="D11" s="174">
        <v>0</v>
      </c>
      <c r="E11" s="175">
        <v>0</v>
      </c>
    </row>
    <row r="12" spans="2:5">
      <c r="B12" s="168" t="s">
        <v>352</v>
      </c>
      <c r="C12" s="176" t="s">
        <v>1629</v>
      </c>
      <c r="D12" s="174">
        <v>0</v>
      </c>
      <c r="E12" s="175">
        <v>0</v>
      </c>
    </row>
    <row r="13" spans="2:5">
      <c r="B13" s="168" t="s">
        <v>353</v>
      </c>
      <c r="C13" s="173" t="s">
        <v>1070</v>
      </c>
      <c r="D13" s="174">
        <v>0</v>
      </c>
      <c r="E13" s="175">
        <v>0</v>
      </c>
    </row>
    <row r="14" spans="2:5">
      <c r="B14" s="168" t="s">
        <v>427</v>
      </c>
      <c r="C14" s="173" t="s">
        <v>1071</v>
      </c>
      <c r="D14" s="174">
        <v>0</v>
      </c>
      <c r="E14" s="175">
        <v>0</v>
      </c>
    </row>
    <row r="15" spans="2:5">
      <c r="B15" s="168" t="s">
        <v>428</v>
      </c>
      <c r="C15" s="173" t="s">
        <v>1072</v>
      </c>
      <c r="D15" s="174">
        <v>0</v>
      </c>
      <c r="E15" s="175">
        <v>0</v>
      </c>
    </row>
    <row r="16" spans="2:5">
      <c r="B16" s="168" t="s">
        <v>429</v>
      </c>
      <c r="C16" s="173" t="s">
        <v>1073</v>
      </c>
      <c r="D16" s="174">
        <v>0</v>
      </c>
      <c r="E16" s="175">
        <v>0</v>
      </c>
    </row>
    <row r="17" spans="2:5">
      <c r="B17" s="168" t="s">
        <v>445</v>
      </c>
      <c r="C17" s="173" t="s">
        <v>1074</v>
      </c>
      <c r="D17" s="174">
        <v>0</v>
      </c>
      <c r="E17" s="175">
        <v>0</v>
      </c>
    </row>
    <row r="18" spans="2:5" ht="36">
      <c r="B18" s="168" t="s">
        <v>446</v>
      </c>
      <c r="C18" s="173" t="s">
        <v>1075</v>
      </c>
      <c r="D18" s="174">
        <v>0</v>
      </c>
      <c r="E18" s="175">
        <v>0</v>
      </c>
    </row>
    <row r="19" spans="2:5" ht="36">
      <c r="B19" s="168" t="s">
        <v>266</v>
      </c>
      <c r="C19" s="173" t="s">
        <v>1076</v>
      </c>
      <c r="D19" s="174">
        <v>0</v>
      </c>
      <c r="E19" s="175">
        <v>0</v>
      </c>
    </row>
    <row r="20" spans="2:5" ht="36">
      <c r="B20" s="168" t="s">
        <v>267</v>
      </c>
      <c r="C20" s="173" t="s">
        <v>1077</v>
      </c>
      <c r="D20" s="174">
        <v>0</v>
      </c>
      <c r="E20" s="175">
        <v>0</v>
      </c>
    </row>
    <row r="21" spans="2:5" ht="36">
      <c r="B21" s="168" t="s">
        <v>268</v>
      </c>
      <c r="C21" s="173" t="s">
        <v>1078</v>
      </c>
      <c r="D21" s="174">
        <v>0</v>
      </c>
      <c r="E21" s="175">
        <v>0</v>
      </c>
    </row>
    <row r="22" spans="2:5" ht="36">
      <c r="B22" s="168" t="s">
        <v>269</v>
      </c>
      <c r="C22" s="176" t="s">
        <v>1079</v>
      </c>
      <c r="D22" s="174">
        <v>0</v>
      </c>
      <c r="E22" s="175">
        <v>0</v>
      </c>
    </row>
    <row r="23" spans="2:5">
      <c r="B23" s="168" t="s">
        <v>1630</v>
      </c>
      <c r="C23" s="176" t="s">
        <v>1080</v>
      </c>
      <c r="D23" s="175">
        <v>0</v>
      </c>
      <c r="E23" s="175">
        <v>0</v>
      </c>
    </row>
    <row r="24" spans="2:5" ht="19.5">
      <c r="B24" s="168" t="s">
        <v>1631</v>
      </c>
      <c r="C24" s="177" t="s">
        <v>1065</v>
      </c>
      <c r="D24" s="178">
        <v>0</v>
      </c>
      <c r="E24" s="178">
        <v>0</v>
      </c>
    </row>
    <row r="25" spans="2:5">
      <c r="B25" s="168" t="s">
        <v>270</v>
      </c>
      <c r="C25" s="179" t="s">
        <v>1632</v>
      </c>
      <c r="D25" s="170">
        <f>SUM(D26:D32)</f>
        <v>0</v>
      </c>
      <c r="E25" s="170">
        <f>SUM(E26:E32)</f>
        <v>0</v>
      </c>
    </row>
    <row r="26" spans="2:5">
      <c r="B26" s="168" t="s">
        <v>271</v>
      </c>
      <c r="C26" s="176" t="s">
        <v>1633</v>
      </c>
      <c r="D26" s="174">
        <v>0</v>
      </c>
      <c r="E26" s="175">
        <v>0</v>
      </c>
    </row>
    <row r="27" spans="2:5">
      <c r="B27" s="168" t="s">
        <v>272</v>
      </c>
      <c r="C27" s="180" t="s">
        <v>1634</v>
      </c>
      <c r="D27" s="174">
        <v>0</v>
      </c>
      <c r="E27" s="175">
        <v>0</v>
      </c>
    </row>
    <row r="28" spans="2:5">
      <c r="B28" s="168" t="s">
        <v>275</v>
      </c>
      <c r="C28" s="180" t="s">
        <v>1635</v>
      </c>
      <c r="D28" s="174">
        <v>0</v>
      </c>
      <c r="E28" s="175">
        <v>0</v>
      </c>
    </row>
    <row r="29" spans="2:5">
      <c r="B29" s="168" t="s">
        <v>276</v>
      </c>
      <c r="C29" s="173" t="s">
        <v>1636</v>
      </c>
      <c r="D29" s="174">
        <v>0</v>
      </c>
      <c r="E29" s="175">
        <v>0</v>
      </c>
    </row>
    <row r="30" spans="2:5">
      <c r="B30" s="168" t="s">
        <v>277</v>
      </c>
      <c r="C30" s="173" t="s">
        <v>1637</v>
      </c>
      <c r="D30" s="174">
        <v>0</v>
      </c>
      <c r="E30" s="175">
        <v>0</v>
      </c>
    </row>
    <row r="31" spans="2:5">
      <c r="B31" s="168" t="s">
        <v>278</v>
      </c>
      <c r="C31" s="173" t="s">
        <v>1638</v>
      </c>
      <c r="D31" s="174">
        <v>0</v>
      </c>
      <c r="E31" s="175">
        <v>0</v>
      </c>
    </row>
    <row r="32" spans="2:5">
      <c r="B32" s="168" t="s">
        <v>1639</v>
      </c>
      <c r="C32" s="173" t="s">
        <v>1640</v>
      </c>
      <c r="D32" s="175">
        <v>0</v>
      </c>
      <c r="E32" s="175">
        <v>0</v>
      </c>
    </row>
    <row r="33" spans="2:5" ht="19.5">
      <c r="B33" s="168" t="s">
        <v>279</v>
      </c>
      <c r="C33" s="181" t="s">
        <v>1064</v>
      </c>
      <c r="D33" s="178">
        <v>0</v>
      </c>
      <c r="E33" s="178">
        <v>0</v>
      </c>
    </row>
    <row r="34" spans="2:5">
      <c r="B34" s="168" t="s">
        <v>280</v>
      </c>
      <c r="C34" s="182" t="s">
        <v>1081</v>
      </c>
      <c r="D34" s="170">
        <f>+D35+D51</f>
        <v>0</v>
      </c>
      <c r="E34" s="170">
        <f>+E35+E51</f>
        <v>0</v>
      </c>
    </row>
    <row r="35" spans="2:5">
      <c r="B35" s="168" t="s">
        <v>281</v>
      </c>
      <c r="C35" s="179" t="s">
        <v>1069</v>
      </c>
      <c r="D35" s="170">
        <f>SUM(D36:D49)</f>
        <v>0</v>
      </c>
      <c r="E35" s="170">
        <f>SUM(E36:E49)</f>
        <v>0</v>
      </c>
    </row>
    <row r="36" spans="2:5">
      <c r="B36" s="168" t="s">
        <v>282</v>
      </c>
      <c r="C36" s="173" t="s">
        <v>1627</v>
      </c>
      <c r="D36" s="174">
        <v>0</v>
      </c>
      <c r="E36" s="175">
        <v>0</v>
      </c>
    </row>
    <row r="37" spans="2:5">
      <c r="B37" s="168" t="s">
        <v>283</v>
      </c>
      <c r="C37" s="173" t="s">
        <v>1628</v>
      </c>
      <c r="D37" s="174">
        <v>0</v>
      </c>
      <c r="E37" s="175">
        <v>0</v>
      </c>
    </row>
    <row r="38" spans="2:5">
      <c r="B38" s="168" t="s">
        <v>284</v>
      </c>
      <c r="C38" s="176" t="s">
        <v>1629</v>
      </c>
      <c r="D38" s="174">
        <v>0</v>
      </c>
      <c r="E38" s="175">
        <v>0</v>
      </c>
    </row>
    <row r="39" spans="2:5">
      <c r="B39" s="168" t="s">
        <v>285</v>
      </c>
      <c r="C39" s="173" t="s">
        <v>1070</v>
      </c>
      <c r="D39" s="174">
        <v>0</v>
      </c>
      <c r="E39" s="175">
        <v>0</v>
      </c>
    </row>
    <row r="40" spans="2:5">
      <c r="B40" s="168" t="s">
        <v>286</v>
      </c>
      <c r="C40" s="173" t="s">
        <v>1082</v>
      </c>
      <c r="D40" s="174">
        <v>0</v>
      </c>
      <c r="E40" s="175">
        <v>0</v>
      </c>
    </row>
    <row r="41" spans="2:5">
      <c r="B41" s="168" t="s">
        <v>287</v>
      </c>
      <c r="C41" s="173" t="s">
        <v>1072</v>
      </c>
      <c r="D41" s="174">
        <v>0</v>
      </c>
      <c r="E41" s="175">
        <v>0</v>
      </c>
    </row>
    <row r="42" spans="2:5">
      <c r="B42" s="168" t="s">
        <v>288</v>
      </c>
      <c r="C42" s="173" t="s">
        <v>1073</v>
      </c>
      <c r="D42" s="174">
        <v>0</v>
      </c>
      <c r="E42" s="175">
        <v>0</v>
      </c>
    </row>
    <row r="43" spans="2:5">
      <c r="B43" s="168" t="s">
        <v>289</v>
      </c>
      <c r="C43" s="173" t="s">
        <v>1074</v>
      </c>
      <c r="D43" s="174">
        <v>0</v>
      </c>
      <c r="E43" s="175">
        <v>0</v>
      </c>
    </row>
    <row r="44" spans="2:5" ht="36">
      <c r="B44" s="168" t="s">
        <v>290</v>
      </c>
      <c r="C44" s="173" t="s">
        <v>1075</v>
      </c>
      <c r="D44" s="174">
        <v>0</v>
      </c>
      <c r="E44" s="175">
        <v>0</v>
      </c>
    </row>
    <row r="45" spans="2:5" ht="36">
      <c r="B45" s="168" t="s">
        <v>291</v>
      </c>
      <c r="C45" s="173" t="s">
        <v>1083</v>
      </c>
      <c r="D45" s="174">
        <v>0</v>
      </c>
      <c r="E45" s="175">
        <v>0</v>
      </c>
    </row>
    <row r="46" spans="2:5" ht="36">
      <c r="B46" s="168" t="s">
        <v>292</v>
      </c>
      <c r="C46" s="173" t="s">
        <v>1084</v>
      </c>
      <c r="D46" s="174">
        <v>0</v>
      </c>
      <c r="E46" s="175">
        <v>0</v>
      </c>
    </row>
    <row r="47" spans="2:5" ht="36">
      <c r="B47" s="168" t="s">
        <v>293</v>
      </c>
      <c r="C47" s="173" t="s">
        <v>1085</v>
      </c>
      <c r="D47" s="174">
        <v>0</v>
      </c>
      <c r="E47" s="175">
        <v>0</v>
      </c>
    </row>
    <row r="48" spans="2:5" ht="36">
      <c r="B48" s="168" t="s">
        <v>294</v>
      </c>
      <c r="C48" s="176" t="s">
        <v>1086</v>
      </c>
      <c r="D48" s="174">
        <v>0</v>
      </c>
      <c r="E48" s="175">
        <v>0</v>
      </c>
    </row>
    <row r="49" spans="2:5">
      <c r="B49" s="168" t="s">
        <v>1641</v>
      </c>
      <c r="C49" s="176" t="s">
        <v>1080</v>
      </c>
      <c r="D49" s="175">
        <v>0</v>
      </c>
      <c r="E49" s="175">
        <v>0</v>
      </c>
    </row>
    <row r="50" spans="2:5" ht="19.5">
      <c r="B50" s="168" t="s">
        <v>1642</v>
      </c>
      <c r="C50" s="177" t="s">
        <v>1065</v>
      </c>
      <c r="D50" s="178">
        <v>0</v>
      </c>
      <c r="E50" s="178">
        <v>0</v>
      </c>
    </row>
    <row r="51" spans="2:5">
      <c r="B51" s="168" t="s">
        <v>273</v>
      </c>
      <c r="C51" s="172" t="s">
        <v>1632</v>
      </c>
      <c r="D51" s="170">
        <f>SUM(D52:D58)</f>
        <v>0</v>
      </c>
      <c r="E51" s="170">
        <f>SUM(E52:E58)</f>
        <v>0</v>
      </c>
    </row>
    <row r="52" spans="2:5">
      <c r="B52" s="168" t="s">
        <v>274</v>
      </c>
      <c r="C52" s="173" t="s">
        <v>1633</v>
      </c>
      <c r="D52" s="174">
        <v>0</v>
      </c>
      <c r="E52" s="175">
        <v>0</v>
      </c>
    </row>
    <row r="53" spans="2:5">
      <c r="B53" s="168" t="s">
        <v>295</v>
      </c>
      <c r="C53" s="173" t="s">
        <v>1643</v>
      </c>
      <c r="D53" s="174">
        <v>0</v>
      </c>
      <c r="E53" s="175">
        <v>0</v>
      </c>
    </row>
    <row r="54" spans="2:5">
      <c r="B54" s="168" t="s">
        <v>296</v>
      </c>
      <c r="C54" s="173" t="s">
        <v>1644</v>
      </c>
      <c r="D54" s="174">
        <v>0</v>
      </c>
      <c r="E54" s="175">
        <v>0</v>
      </c>
    </row>
    <row r="55" spans="2:5">
      <c r="B55" s="168" t="s">
        <v>297</v>
      </c>
      <c r="C55" s="173" t="s">
        <v>1636</v>
      </c>
      <c r="D55" s="174">
        <v>0</v>
      </c>
      <c r="E55" s="175">
        <v>0</v>
      </c>
    </row>
    <row r="56" spans="2:5">
      <c r="B56" s="168" t="s">
        <v>298</v>
      </c>
      <c r="C56" s="173" t="s">
        <v>1645</v>
      </c>
      <c r="D56" s="174">
        <v>0</v>
      </c>
      <c r="E56" s="175">
        <v>0</v>
      </c>
    </row>
    <row r="57" spans="2:5">
      <c r="B57" s="168" t="s">
        <v>299</v>
      </c>
      <c r="C57" s="173" t="s">
        <v>1646</v>
      </c>
      <c r="D57" s="174">
        <v>0</v>
      </c>
      <c r="E57" s="175">
        <v>0</v>
      </c>
    </row>
    <row r="58" spans="2:5">
      <c r="B58" s="168" t="s">
        <v>1647</v>
      </c>
      <c r="C58" s="173" t="s">
        <v>1640</v>
      </c>
      <c r="D58" s="175">
        <v>0</v>
      </c>
      <c r="E58" s="175">
        <v>0</v>
      </c>
    </row>
    <row r="59" spans="2:5" ht="19.5">
      <c r="B59" s="168" t="s">
        <v>308</v>
      </c>
      <c r="C59" s="177" t="s">
        <v>1089</v>
      </c>
      <c r="D59" s="178">
        <v>0</v>
      </c>
      <c r="E59" s="178">
        <v>0</v>
      </c>
    </row>
    <row r="60" spans="2:5">
      <c r="B60" s="168" t="s">
        <v>309</v>
      </c>
      <c r="C60" s="172" t="s">
        <v>1090</v>
      </c>
      <c r="D60" s="170">
        <f>+D61+D77</f>
        <v>0</v>
      </c>
      <c r="E60" s="170">
        <f>+E61+E77</f>
        <v>0</v>
      </c>
    </row>
    <row r="61" spans="2:5">
      <c r="B61" s="168" t="s">
        <v>310</v>
      </c>
      <c r="C61" s="172" t="s">
        <v>1069</v>
      </c>
      <c r="D61" s="170">
        <f>SUM(D62:D75)</f>
        <v>0</v>
      </c>
      <c r="E61" s="170">
        <f>SUM(E62:E75)</f>
        <v>0</v>
      </c>
    </row>
    <row r="62" spans="2:5">
      <c r="B62" s="168" t="s">
        <v>311</v>
      </c>
      <c r="C62" s="173" t="s">
        <v>1627</v>
      </c>
      <c r="D62" s="9"/>
      <c r="E62" s="175">
        <v>0</v>
      </c>
    </row>
    <row r="63" spans="2:5">
      <c r="B63" s="168" t="s">
        <v>312</v>
      </c>
      <c r="C63" s="173" t="s">
        <v>1628</v>
      </c>
      <c r="D63" s="60">
        <v>0</v>
      </c>
      <c r="E63" s="175">
        <v>0</v>
      </c>
    </row>
    <row r="64" spans="2:5">
      <c r="B64" s="168" t="s">
        <v>313</v>
      </c>
      <c r="C64" s="176" t="s">
        <v>1629</v>
      </c>
      <c r="D64" s="175">
        <v>0</v>
      </c>
      <c r="E64" s="175">
        <v>0</v>
      </c>
    </row>
    <row r="65" spans="2:5">
      <c r="B65" s="168" t="s">
        <v>447</v>
      </c>
      <c r="C65" s="173" t="s">
        <v>1070</v>
      </c>
      <c r="D65" s="175">
        <v>0</v>
      </c>
      <c r="E65" s="175">
        <v>0</v>
      </c>
    </row>
    <row r="66" spans="2:5">
      <c r="B66" s="168" t="s">
        <v>448</v>
      </c>
      <c r="C66" s="173" t="s">
        <v>1071</v>
      </c>
      <c r="D66" s="175">
        <v>0</v>
      </c>
      <c r="E66" s="175">
        <v>0</v>
      </c>
    </row>
    <row r="67" spans="2:5">
      <c r="B67" s="168" t="s">
        <v>449</v>
      </c>
      <c r="C67" s="173" t="s">
        <v>1072</v>
      </c>
      <c r="D67" s="175">
        <v>0</v>
      </c>
      <c r="E67" s="175">
        <v>0</v>
      </c>
    </row>
    <row r="68" spans="2:5">
      <c r="B68" s="168" t="s">
        <v>450</v>
      </c>
      <c r="C68" s="173" t="s">
        <v>1073</v>
      </c>
      <c r="D68" s="175">
        <v>0</v>
      </c>
      <c r="E68" s="175">
        <v>0</v>
      </c>
    </row>
    <row r="69" spans="2:5">
      <c r="B69" s="168" t="s">
        <v>451</v>
      </c>
      <c r="C69" s="173" t="s">
        <v>1074</v>
      </c>
      <c r="D69" s="175">
        <v>0</v>
      </c>
      <c r="E69" s="175">
        <v>0</v>
      </c>
    </row>
    <row r="70" spans="2:5" ht="36">
      <c r="B70" s="168" t="s">
        <v>452</v>
      </c>
      <c r="C70" s="173" t="s">
        <v>1075</v>
      </c>
      <c r="D70" s="175">
        <v>0</v>
      </c>
      <c r="E70" s="175">
        <v>0</v>
      </c>
    </row>
    <row r="71" spans="2:5" ht="36">
      <c r="B71" s="168" t="s">
        <v>453</v>
      </c>
      <c r="C71" s="173" t="s">
        <v>1083</v>
      </c>
      <c r="D71" s="175">
        <v>0</v>
      </c>
      <c r="E71" s="175">
        <v>0</v>
      </c>
    </row>
    <row r="72" spans="2:5" ht="36">
      <c r="B72" s="168" t="s">
        <v>454</v>
      </c>
      <c r="C72" s="173" t="s">
        <v>1087</v>
      </c>
      <c r="D72" s="175">
        <v>0</v>
      </c>
      <c r="E72" s="175">
        <v>0</v>
      </c>
    </row>
    <row r="73" spans="2:5" ht="36">
      <c r="B73" s="168" t="s">
        <v>455</v>
      </c>
      <c r="C73" s="173" t="s">
        <v>1085</v>
      </c>
      <c r="D73" s="175">
        <v>0</v>
      </c>
      <c r="E73" s="175">
        <v>0</v>
      </c>
    </row>
    <row r="74" spans="2:5" ht="36">
      <c r="B74" s="168" t="s">
        <v>456</v>
      </c>
      <c r="C74" s="176" t="s">
        <v>1088</v>
      </c>
      <c r="D74" s="175">
        <v>0</v>
      </c>
      <c r="E74" s="175">
        <v>0</v>
      </c>
    </row>
    <row r="75" spans="2:5">
      <c r="B75" s="168" t="s">
        <v>1654</v>
      </c>
      <c r="C75" s="176" t="s">
        <v>1080</v>
      </c>
      <c r="D75" s="175">
        <v>0</v>
      </c>
      <c r="E75" s="175">
        <v>0</v>
      </c>
    </row>
    <row r="76" spans="2:5" ht="19.5">
      <c r="B76" s="168" t="s">
        <v>1655</v>
      </c>
      <c r="C76" s="177" t="s">
        <v>1065</v>
      </c>
      <c r="D76" s="183">
        <v>0</v>
      </c>
      <c r="E76" s="183">
        <v>0</v>
      </c>
    </row>
    <row r="77" spans="2:5">
      <c r="B77" s="168" t="s">
        <v>457</v>
      </c>
      <c r="C77" s="172" t="s">
        <v>1656</v>
      </c>
      <c r="D77" s="184">
        <f>SUM(D78:D84)</f>
        <v>0</v>
      </c>
      <c r="E77" s="184">
        <f>SUM(E78:E84)</f>
        <v>0</v>
      </c>
    </row>
    <row r="78" spans="2:5">
      <c r="B78" s="168" t="s">
        <v>458</v>
      </c>
      <c r="C78" s="173" t="s">
        <v>1633</v>
      </c>
      <c r="D78" s="175"/>
      <c r="E78" s="175">
        <v>0</v>
      </c>
    </row>
    <row r="79" spans="2:5">
      <c r="B79" s="168" t="s">
        <v>459</v>
      </c>
      <c r="C79" s="173" t="s">
        <v>1657</v>
      </c>
      <c r="D79" s="175">
        <v>0</v>
      </c>
      <c r="E79" s="175">
        <v>0</v>
      </c>
    </row>
    <row r="80" spans="2:5">
      <c r="B80" s="168" t="s">
        <v>460</v>
      </c>
      <c r="C80" s="173" t="s">
        <v>1644</v>
      </c>
      <c r="D80" s="175">
        <v>0</v>
      </c>
      <c r="E80" s="175">
        <v>0</v>
      </c>
    </row>
    <row r="81" spans="2:5">
      <c r="B81" s="168" t="s">
        <v>461</v>
      </c>
      <c r="C81" s="173" t="s">
        <v>1636</v>
      </c>
      <c r="D81" s="175">
        <v>0</v>
      </c>
      <c r="E81" s="175">
        <v>0</v>
      </c>
    </row>
    <row r="82" spans="2:5">
      <c r="B82" s="168" t="s">
        <v>265</v>
      </c>
      <c r="C82" s="173" t="s">
        <v>1645</v>
      </c>
      <c r="D82" s="60"/>
      <c r="E82" s="175">
        <v>0</v>
      </c>
    </row>
    <row r="83" spans="2:5">
      <c r="B83" s="168" t="s">
        <v>886</v>
      </c>
      <c r="C83" s="173" t="s">
        <v>1646</v>
      </c>
      <c r="D83" s="175">
        <v>0</v>
      </c>
      <c r="E83" s="175">
        <v>0</v>
      </c>
    </row>
    <row r="84" spans="2:5">
      <c r="B84" s="168" t="s">
        <v>1658</v>
      </c>
      <c r="C84" s="173" t="s">
        <v>1640</v>
      </c>
      <c r="D84" s="175">
        <v>0</v>
      </c>
      <c r="E84" s="175">
        <v>0</v>
      </c>
    </row>
    <row r="85" spans="2:5" ht="18.75" customHeight="1">
      <c r="B85" s="168" t="s">
        <v>887</v>
      </c>
      <c r="C85" s="185" t="s">
        <v>1091</v>
      </c>
      <c r="D85" s="183">
        <v>0</v>
      </c>
      <c r="E85" s="183">
        <v>0</v>
      </c>
    </row>
  </sheetData>
  <sheetProtection password="E9D4" sheet="1"/>
  <customSheetViews>
    <customSheetView guid="{871F8275-217B-436F-8813-871F820F0EE4}" scale="85" showPageBreaks="1" showGridLines="0" view="pageBreakPreview" topLeftCell="A69">
      <selection activeCell="B88" sqref="B88"/>
      <pageMargins left="0.39370078740157483" right="0.39370078740157483" top="0.31496062992125984" bottom="0.31496062992125984" header="0.19685039370078741" footer="0.19685039370078741"/>
      <pageSetup paperSize="9" scale="65" orientation="portrait" r:id="rId1"/>
      <headerFooter alignWithMargins="0">
        <oddFooter>&amp;L&amp;7&amp;D&amp;C&amp;7&amp;P&amp;R&amp;7&amp;F</oddFooter>
      </headerFooter>
    </customSheetView>
    <customSheetView guid="{2EBF18CB-80C9-43ED-A978-2AAEAC40933E}" scale="75" showGridLines="0" showRuler="0" topLeftCell="A60">
      <selection activeCell="D82" sqref="D82"/>
      <pageMargins left="0.39370078740157483" right="0.39370078740157483" top="0.31496062992125984" bottom="0.31496062992125984" header="0.19685039370078741" footer="0.19685039370078741"/>
      <pageSetup paperSize="9" scale="65" orientation="portrait" horizontalDpi="300" verticalDpi="300" r:id="rId2"/>
      <headerFooter alignWithMargins="0">
        <oddFooter>&amp;L&amp;7&amp;D&amp;C&amp;7&amp;P&amp;R&amp;7&amp;F</oddFooter>
      </headerFooter>
    </customSheetView>
    <customSheetView guid="{47D3AB49-9599-4A16-951B-F48FEC1C0136}" scale="75" showGridLines="0" topLeftCell="A64">
      <selection activeCell="D82" sqref="D82"/>
      <pageMargins left="0.39370078740157483" right="0.39370078740157483" top="0.31496062992125984" bottom="0.31496062992125984" header="0.19685039370078741" footer="0.19685039370078741"/>
      <pageSetup paperSize="9" scale="65" orientation="portrait" horizontalDpi="300" verticalDpi="300" r:id="rId3"/>
      <headerFooter alignWithMargins="0">
        <oddFooter>&amp;L&amp;7&amp;D&amp;C&amp;7&amp;P&amp;R&amp;7&amp;F</oddFooter>
      </headerFooter>
    </customSheetView>
    <customSheetView guid="{ECE607A2-8A26-46E0-8BDC-E9AD788F604C}" scale="85" showPageBreaks="1" showGridLines="0" view="pageBreakPreview" topLeftCell="A55">
      <selection activeCell="D63" sqref="D63"/>
      <pageMargins left="0.39370078740157483" right="0.39370078740157483" top="0.31496062992125984" bottom="0.31496062992125984" header="0.19685039370078741" footer="0.19685039370078741"/>
      <pageSetup paperSize="9" scale="65" orientation="portrait" r:id="rId4"/>
      <headerFooter alignWithMargins="0">
        <oddFooter>&amp;L&amp;7&amp;D&amp;C&amp;7&amp;P&amp;R&amp;7&amp;F</oddFooter>
      </headerFooter>
    </customSheetView>
    <customSheetView guid="{FB1E0752-409C-4E7D-BCFE-7AEBEB8B5F0D}" scale="85" showPageBreaks="1" showGridLines="0" view="pageBreakPreview" topLeftCell="A69">
      <selection activeCell="B88" sqref="B88"/>
      <pageMargins left="0.39370078740157483" right="0.39370078740157483" top="0.31496062992125984" bottom="0.31496062992125984" header="0.19685039370078741" footer="0.19685039370078741"/>
      <pageSetup paperSize="9" scale="65" orientation="portrait" r:id="rId5"/>
      <headerFooter alignWithMargins="0">
        <oddFooter>&amp;L&amp;7&amp;D&amp;C&amp;7&amp;P&amp;R&amp;7&amp;F</oddFooter>
      </headerFooter>
    </customSheetView>
  </customSheetViews>
  <mergeCells count="2">
    <mergeCell ref="D5:E5"/>
    <mergeCell ref="D1:E1"/>
  </mergeCells>
  <phoneticPr fontId="0" type="noConversion"/>
  <pageMargins left="0.39370078740157483" right="0.39370078740157483" top="0.31496062992125984" bottom="0.31496062992125984" header="0.19685039370078741" footer="0.19685039370078741"/>
  <pageSetup paperSize="9" scale="63" orientation="portrait" r:id="rId6"/>
  <headerFooter alignWithMargins="0">
    <oddFooter>&amp;L&amp;7&amp;D&amp;C&amp;7&amp;P&amp;R&amp;7&amp;F</oddFooter>
  </headerFooter>
</worksheet>
</file>

<file path=xl/worksheets/sheet14.xml><?xml version="1.0" encoding="utf-8"?>
<worksheet xmlns="http://schemas.openxmlformats.org/spreadsheetml/2006/main" xmlns:r="http://schemas.openxmlformats.org/officeDocument/2006/relationships">
  <sheetPr codeName="Лист14">
    <pageSetUpPr fitToPage="1"/>
  </sheetPr>
  <dimension ref="B1:M28"/>
  <sheetViews>
    <sheetView topLeftCell="A6" workbookViewId="0">
      <selection activeCell="D11" sqref="D11"/>
    </sheetView>
  </sheetViews>
  <sheetFormatPr defaultRowHeight="15"/>
  <cols>
    <col min="1" max="1" width="1.5703125" style="216" customWidth="1"/>
    <col min="2" max="2" width="11" style="216" customWidth="1"/>
    <col min="3" max="3" width="40.7109375" style="216" customWidth="1"/>
    <col min="4" max="12" width="18.7109375" style="216" customWidth="1"/>
    <col min="13" max="16384" width="9.140625" style="216"/>
  </cols>
  <sheetData>
    <row r="1" spans="2:13" s="87" customFormat="1" ht="32.25" customHeight="1">
      <c r="B1" s="202"/>
      <c r="C1" s="203"/>
      <c r="D1" s="204"/>
      <c r="E1" s="204"/>
      <c r="F1" s="204"/>
      <c r="G1" s="204"/>
      <c r="H1" s="204"/>
      <c r="I1" s="204"/>
      <c r="J1" s="204"/>
      <c r="K1" s="1189" t="s">
        <v>1858</v>
      </c>
      <c r="L1" s="1173"/>
      <c r="M1" s="205"/>
    </row>
    <row r="2" spans="2:13" s="87" customFormat="1" ht="18">
      <c r="B2" s="202"/>
      <c r="C2" s="39" t="str">
        <f>T!E18</f>
        <v>Номгӯи ташкилоти қарзӣ</v>
      </c>
      <c r="D2" s="206"/>
      <c r="E2" s="206"/>
      <c r="F2" s="206"/>
      <c r="G2" s="206"/>
      <c r="H2" s="206"/>
      <c r="I2" s="204"/>
      <c r="J2" s="204"/>
      <c r="K2" s="204"/>
      <c r="L2" s="204"/>
      <c r="M2" s="205"/>
    </row>
    <row r="3" spans="2:13" s="87" customFormat="1" ht="18">
      <c r="B3" s="202"/>
      <c r="C3" s="207" t="str">
        <f>T!B10</f>
        <v>Ҳисобот дар санаи</v>
      </c>
      <c r="D3" s="206"/>
      <c r="E3" s="206"/>
      <c r="F3" s="206"/>
      <c r="G3" s="206"/>
      <c r="H3" s="206"/>
      <c r="I3" s="204"/>
      <c r="J3" s="204"/>
      <c r="K3" s="204"/>
      <c r="L3" s="204"/>
      <c r="M3" s="205"/>
    </row>
    <row r="4" spans="2:13" s="87" customFormat="1" ht="18">
      <c r="B4" s="208"/>
      <c r="C4" s="1187" t="str">
        <f>'List of Scedules'!B13</f>
        <v>ҶАДВАЛИ 05.01. ДОРОИҲОИ БА ТАЪХИРАФТОДА БО ПУЛИ МИЛЛӢ</v>
      </c>
      <c r="D4" s="1187"/>
      <c r="E4" s="1188"/>
      <c r="F4" s="1188"/>
      <c r="G4" s="1188"/>
      <c r="H4" s="1188"/>
      <c r="I4" s="209"/>
      <c r="J4" s="209"/>
      <c r="K4" s="209"/>
      <c r="L4" s="209"/>
      <c r="M4" s="210"/>
    </row>
    <row r="5" spans="2:13" ht="18">
      <c r="B5" s="211"/>
      <c r="C5" s="212"/>
      <c r="D5" s="213"/>
      <c r="E5" s="213"/>
      <c r="F5" s="213"/>
      <c r="G5" s="213"/>
      <c r="H5" s="214"/>
      <c r="I5" s="214"/>
      <c r="J5" s="214"/>
      <c r="K5" s="214"/>
      <c r="L5" s="214"/>
      <c r="M5" s="215"/>
    </row>
    <row r="6" spans="2:13" ht="57.95" customHeight="1">
      <c r="B6" s="191"/>
      <c r="C6" s="192" t="s">
        <v>1659</v>
      </c>
      <c r="D6" s="192" t="s">
        <v>1660</v>
      </c>
      <c r="E6" s="193" t="s">
        <v>1661</v>
      </c>
      <c r="F6" s="192" t="s">
        <v>2204</v>
      </c>
      <c r="G6" s="192" t="s">
        <v>2205</v>
      </c>
      <c r="H6" s="998" t="s">
        <v>2201</v>
      </c>
      <c r="I6" s="998" t="s">
        <v>2197</v>
      </c>
      <c r="J6" s="998" t="s">
        <v>2202</v>
      </c>
      <c r="K6" s="998" t="s">
        <v>2203</v>
      </c>
      <c r="L6" s="998" t="s">
        <v>2196</v>
      </c>
      <c r="M6" s="217"/>
    </row>
    <row r="7" spans="2:13" ht="18">
      <c r="B7" s="191"/>
      <c r="C7" s="194">
        <v>1</v>
      </c>
      <c r="D7" s="195">
        <v>2</v>
      </c>
      <c r="E7" s="195">
        <v>3</v>
      </c>
      <c r="F7" s="195">
        <v>4</v>
      </c>
      <c r="G7" s="195">
        <v>5</v>
      </c>
      <c r="H7" s="195">
        <v>6</v>
      </c>
      <c r="I7" s="195">
        <v>7</v>
      </c>
      <c r="J7" s="195">
        <v>8</v>
      </c>
      <c r="K7" s="195">
        <v>9</v>
      </c>
      <c r="L7" s="195">
        <v>10</v>
      </c>
      <c r="M7" s="217"/>
    </row>
    <row r="8" spans="2:13" ht="18">
      <c r="B8" s="196" t="s">
        <v>463</v>
      </c>
      <c r="C8" s="197" t="s">
        <v>1465</v>
      </c>
      <c r="D8" s="198">
        <f>SUM(D9:D14)</f>
        <v>0</v>
      </c>
      <c r="E8" s="198">
        <f t="shared" ref="E8:L8" si="0">SUM(E9:E14)</f>
        <v>0</v>
      </c>
      <c r="F8" s="198">
        <f t="shared" si="0"/>
        <v>0</v>
      </c>
      <c r="G8" s="198">
        <f>SUM(G9:G14)</f>
        <v>0</v>
      </c>
      <c r="H8" s="198">
        <f t="shared" si="0"/>
        <v>0</v>
      </c>
      <c r="I8" s="198">
        <f t="shared" si="0"/>
        <v>0</v>
      </c>
      <c r="J8" s="198">
        <f t="shared" si="0"/>
        <v>0</v>
      </c>
      <c r="K8" s="198">
        <f t="shared" si="0"/>
        <v>0</v>
      </c>
      <c r="L8" s="198">
        <f t="shared" si="0"/>
        <v>0</v>
      </c>
      <c r="M8" s="217"/>
    </row>
    <row r="9" spans="2:13" ht="18">
      <c r="B9" s="196" t="s">
        <v>464</v>
      </c>
      <c r="C9" s="199" t="s">
        <v>1298</v>
      </c>
      <c r="D9" s="198">
        <f t="shared" ref="D9:D15" si="1">+E9+G9</f>
        <v>0</v>
      </c>
      <c r="E9" s="9"/>
      <c r="F9" s="9"/>
      <c r="G9" s="198">
        <f>SUM(H9:L9)</f>
        <v>0</v>
      </c>
      <c r="H9" s="9"/>
      <c r="I9" s="9"/>
      <c r="J9" s="9"/>
      <c r="K9" s="9"/>
      <c r="L9" s="9"/>
      <c r="M9" s="218"/>
    </row>
    <row r="10" spans="2:13" ht="18">
      <c r="B10" s="196" t="s">
        <v>477</v>
      </c>
      <c r="C10" s="199" t="s">
        <v>1466</v>
      </c>
      <c r="D10" s="198">
        <f t="shared" si="1"/>
        <v>0</v>
      </c>
      <c r="E10" s="9"/>
      <c r="F10" s="9"/>
      <c r="G10" s="198">
        <f t="shared" ref="G10:G28" si="2">SUM(H10:L10)</f>
        <v>0</v>
      </c>
      <c r="H10" s="9"/>
      <c r="I10" s="9"/>
      <c r="J10" s="9"/>
      <c r="K10" s="9"/>
      <c r="L10" s="9"/>
      <c r="M10" s="218"/>
    </row>
    <row r="11" spans="2:13" ht="18">
      <c r="B11" s="196" t="s">
        <v>1662</v>
      </c>
      <c r="C11" s="8" t="s">
        <v>1468</v>
      </c>
      <c r="D11" s="198">
        <f t="shared" si="1"/>
        <v>0</v>
      </c>
      <c r="E11" s="9"/>
      <c r="F11" s="9"/>
      <c r="G11" s="198">
        <f>SUM(H11:L11)</f>
        <v>0</v>
      </c>
      <c r="H11" s="9"/>
      <c r="I11" s="9"/>
      <c r="J11" s="9"/>
      <c r="K11" s="9"/>
      <c r="L11" s="9"/>
      <c r="M11" s="218"/>
    </row>
    <row r="12" spans="2:13" ht="18">
      <c r="B12" s="196" t="s">
        <v>478</v>
      </c>
      <c r="C12" s="8" t="s">
        <v>1469</v>
      </c>
      <c r="D12" s="198">
        <f t="shared" si="1"/>
        <v>0</v>
      </c>
      <c r="E12" s="9"/>
      <c r="F12" s="9"/>
      <c r="G12" s="198">
        <f t="shared" si="2"/>
        <v>0</v>
      </c>
      <c r="H12" s="9"/>
      <c r="I12" s="9"/>
      <c r="J12" s="9"/>
      <c r="K12" s="9"/>
      <c r="L12" s="9"/>
      <c r="M12" s="219"/>
    </row>
    <row r="13" spans="2:13" ht="18">
      <c r="B13" s="196" t="s">
        <v>479</v>
      </c>
      <c r="C13" s="199" t="s">
        <v>1470</v>
      </c>
      <c r="D13" s="198">
        <f t="shared" si="1"/>
        <v>0</v>
      </c>
      <c r="E13" s="9"/>
      <c r="F13" s="9"/>
      <c r="G13" s="198">
        <f t="shared" si="2"/>
        <v>0</v>
      </c>
      <c r="H13" s="9"/>
      <c r="I13" s="9"/>
      <c r="J13" s="9"/>
      <c r="K13" s="9"/>
      <c r="L13" s="9"/>
      <c r="M13" s="219"/>
    </row>
    <row r="14" spans="2:13" ht="18">
      <c r="B14" s="196" t="s">
        <v>480</v>
      </c>
      <c r="C14" s="199" t="s">
        <v>1768</v>
      </c>
      <c r="D14" s="198">
        <f t="shared" si="1"/>
        <v>0</v>
      </c>
      <c r="E14" s="9"/>
      <c r="F14" s="9"/>
      <c r="G14" s="198">
        <f t="shared" si="2"/>
        <v>0</v>
      </c>
      <c r="H14" s="9"/>
      <c r="I14" s="9"/>
      <c r="J14" s="9"/>
      <c r="K14" s="9"/>
      <c r="L14" s="9"/>
      <c r="M14" s="219"/>
    </row>
    <row r="15" spans="2:13" ht="18">
      <c r="B15" s="196" t="s">
        <v>481</v>
      </c>
      <c r="C15" s="1056" t="s">
        <v>1540</v>
      </c>
      <c r="D15" s="198">
        <f t="shared" si="1"/>
        <v>0</v>
      </c>
      <c r="E15" s="9">
        <v>0</v>
      </c>
      <c r="F15" s="9">
        <v>0</v>
      </c>
      <c r="G15" s="198">
        <f t="shared" si="2"/>
        <v>0</v>
      </c>
      <c r="H15" s="9"/>
      <c r="I15" s="9"/>
      <c r="J15" s="9"/>
      <c r="K15" s="9"/>
      <c r="L15" s="9"/>
      <c r="M15" s="219"/>
    </row>
    <row r="16" spans="2:13" ht="18">
      <c r="B16" s="196" t="s">
        <v>1663</v>
      </c>
      <c r="C16" s="11" t="s">
        <v>1542</v>
      </c>
      <c r="D16" s="198">
        <f>SUM(D17:D22)</f>
        <v>0</v>
      </c>
      <c r="E16" s="201">
        <f t="shared" ref="E16:L16" si="3">SUM(E17:E22)</f>
        <v>0</v>
      </c>
      <c r="F16" s="201">
        <f t="shared" si="3"/>
        <v>0</v>
      </c>
      <c r="G16" s="198">
        <f>SUM(G17:G22)</f>
        <v>0</v>
      </c>
      <c r="H16" s="201">
        <f>SUM(H17:H22)</f>
        <v>0</v>
      </c>
      <c r="I16" s="201">
        <f>SUM(I17:I22)</f>
        <v>0</v>
      </c>
      <c r="J16" s="201">
        <f t="shared" si="3"/>
        <v>0</v>
      </c>
      <c r="K16" s="201">
        <f t="shared" si="3"/>
        <v>0</v>
      </c>
      <c r="L16" s="201">
        <f t="shared" si="3"/>
        <v>0</v>
      </c>
      <c r="M16" s="219"/>
    </row>
    <row r="17" spans="2:13" ht="18">
      <c r="B17" s="196" t="s">
        <v>1664</v>
      </c>
      <c r="C17" s="8" t="s">
        <v>1298</v>
      </c>
      <c r="D17" s="198">
        <f t="shared" ref="D17:D28" si="4">+E17+G17</f>
        <v>0</v>
      </c>
      <c r="E17" s="9"/>
      <c r="F17" s="9"/>
      <c r="G17" s="198">
        <f>SUM(H17:L17)</f>
        <v>0</v>
      </c>
      <c r="H17" s="9"/>
      <c r="I17" s="9"/>
      <c r="J17" s="9"/>
      <c r="K17" s="9"/>
      <c r="L17" s="9"/>
      <c r="M17" s="219"/>
    </row>
    <row r="18" spans="2:13" ht="18">
      <c r="B18" s="196" t="s">
        <v>1665</v>
      </c>
      <c r="C18" s="8" t="s">
        <v>1466</v>
      </c>
      <c r="D18" s="198">
        <f t="shared" si="4"/>
        <v>0</v>
      </c>
      <c r="E18" s="9"/>
      <c r="F18" s="9"/>
      <c r="G18" s="198">
        <f t="shared" si="2"/>
        <v>0</v>
      </c>
      <c r="H18" s="9"/>
      <c r="I18" s="9"/>
      <c r="J18" s="9"/>
      <c r="K18" s="9"/>
      <c r="L18" s="9"/>
      <c r="M18" s="219"/>
    </row>
    <row r="19" spans="2:13" ht="18">
      <c r="B19" s="196" t="s">
        <v>1666</v>
      </c>
      <c r="C19" s="8" t="s">
        <v>1468</v>
      </c>
      <c r="D19" s="198">
        <f t="shared" si="4"/>
        <v>0</v>
      </c>
      <c r="E19" s="9"/>
      <c r="F19" s="9"/>
      <c r="G19" s="198">
        <f>SUM(H19:L19)</f>
        <v>0</v>
      </c>
      <c r="H19" s="9"/>
      <c r="I19" s="9"/>
      <c r="J19" s="9"/>
      <c r="K19" s="9"/>
      <c r="L19" s="9"/>
      <c r="M19" s="219"/>
    </row>
    <row r="20" spans="2:13" ht="18">
      <c r="B20" s="196" t="s">
        <v>1667</v>
      </c>
      <c r="C20" s="8" t="s">
        <v>1469</v>
      </c>
      <c r="D20" s="198">
        <f t="shared" si="4"/>
        <v>0</v>
      </c>
      <c r="E20" s="9"/>
      <c r="F20" s="9"/>
      <c r="G20" s="198">
        <f t="shared" si="2"/>
        <v>0</v>
      </c>
      <c r="H20" s="9"/>
      <c r="I20" s="9"/>
      <c r="J20" s="9"/>
      <c r="K20" s="9"/>
      <c r="L20" s="9"/>
      <c r="M20" s="217"/>
    </row>
    <row r="21" spans="2:13" ht="18">
      <c r="B21" s="196" t="s">
        <v>1668</v>
      </c>
      <c r="C21" s="8" t="s">
        <v>1470</v>
      </c>
      <c r="D21" s="198">
        <f t="shared" si="4"/>
        <v>0</v>
      </c>
      <c r="E21" s="9"/>
      <c r="F21" s="9"/>
      <c r="G21" s="198">
        <f t="shared" si="2"/>
        <v>0</v>
      </c>
      <c r="H21" s="9"/>
      <c r="I21" s="9"/>
      <c r="J21" s="9"/>
      <c r="K21" s="9"/>
      <c r="L21" s="9"/>
      <c r="M21" s="217"/>
    </row>
    <row r="22" spans="2:13" ht="18">
      <c r="B22" s="196" t="s">
        <v>1669</v>
      </c>
      <c r="C22" s="8" t="s">
        <v>1745</v>
      </c>
      <c r="D22" s="198">
        <f t="shared" si="4"/>
        <v>0</v>
      </c>
      <c r="E22" s="9"/>
      <c r="F22" s="9"/>
      <c r="G22" s="198">
        <f t="shared" si="2"/>
        <v>0</v>
      </c>
      <c r="H22" s="9"/>
      <c r="I22" s="9"/>
      <c r="J22" s="9"/>
      <c r="K22" s="9"/>
      <c r="L22" s="9"/>
      <c r="M22" s="217"/>
    </row>
    <row r="23" spans="2:13" ht="36">
      <c r="B23" s="196" t="s">
        <v>482</v>
      </c>
      <c r="C23" s="199" t="s">
        <v>1093</v>
      </c>
      <c r="D23" s="198">
        <f t="shared" si="4"/>
        <v>0</v>
      </c>
      <c r="E23" s="9"/>
      <c r="F23" s="9"/>
      <c r="G23" s="198">
        <f t="shared" si="2"/>
        <v>0</v>
      </c>
      <c r="H23" s="9"/>
      <c r="I23" s="9"/>
      <c r="J23" s="9"/>
      <c r="K23" s="9"/>
      <c r="L23" s="9"/>
    </row>
    <row r="24" spans="2:13" ht="18">
      <c r="B24" s="196" t="s">
        <v>483</v>
      </c>
      <c r="C24" s="199" t="s">
        <v>1670</v>
      </c>
      <c r="D24" s="198">
        <f t="shared" si="4"/>
        <v>0</v>
      </c>
      <c r="E24" s="80"/>
      <c r="F24" s="80"/>
      <c r="G24" s="198">
        <f t="shared" si="2"/>
        <v>0</v>
      </c>
      <c r="H24" s="9"/>
      <c r="I24" s="9"/>
      <c r="J24" s="9"/>
      <c r="K24" s="9"/>
      <c r="L24" s="9"/>
    </row>
    <row r="25" spans="2:13" ht="36">
      <c r="B25" s="196" t="s">
        <v>484</v>
      </c>
      <c r="C25" s="199" t="s">
        <v>1094</v>
      </c>
      <c r="D25" s="198">
        <f t="shared" si="4"/>
        <v>0</v>
      </c>
      <c r="E25" s="80"/>
      <c r="F25" s="200"/>
      <c r="G25" s="198">
        <f t="shared" si="2"/>
        <v>0</v>
      </c>
      <c r="H25" s="9"/>
      <c r="I25" s="9"/>
      <c r="J25" s="9"/>
      <c r="K25" s="9"/>
      <c r="L25" s="9"/>
    </row>
    <row r="26" spans="2:13" ht="36">
      <c r="B26" s="196" t="s">
        <v>1671</v>
      </c>
      <c r="C26" s="199" t="s">
        <v>1672</v>
      </c>
      <c r="D26" s="198">
        <f t="shared" si="4"/>
        <v>0</v>
      </c>
      <c r="E26" s="80"/>
      <c r="F26" s="200"/>
      <c r="G26" s="198">
        <f>SUM(H26:L26)</f>
        <v>0</v>
      </c>
      <c r="H26" s="9"/>
      <c r="I26" s="9"/>
      <c r="J26" s="9"/>
      <c r="K26" s="9"/>
      <c r="L26" s="9"/>
    </row>
    <row r="27" spans="2:13" ht="18">
      <c r="B27" s="196" t="s">
        <v>485</v>
      </c>
      <c r="C27" s="199" t="s">
        <v>226</v>
      </c>
      <c r="D27" s="198">
        <f t="shared" si="4"/>
        <v>0</v>
      </c>
      <c r="E27" s="80"/>
      <c r="F27" s="200"/>
      <c r="G27" s="198">
        <f t="shared" si="2"/>
        <v>0</v>
      </c>
      <c r="H27" s="9"/>
      <c r="I27" s="9"/>
      <c r="J27" s="9"/>
      <c r="K27" s="9"/>
      <c r="L27" s="9"/>
    </row>
    <row r="28" spans="2:13" ht="54">
      <c r="B28" s="196" t="s">
        <v>827</v>
      </c>
      <c r="C28" s="199" t="s">
        <v>1673</v>
      </c>
      <c r="D28" s="198">
        <f t="shared" si="4"/>
        <v>0</v>
      </c>
      <c r="E28" s="80"/>
      <c r="F28" s="200"/>
      <c r="G28" s="198">
        <f t="shared" si="2"/>
        <v>0</v>
      </c>
      <c r="H28" s="9"/>
      <c r="I28" s="9"/>
      <c r="J28" s="9"/>
      <c r="K28" s="9"/>
      <c r="L28" s="9"/>
    </row>
  </sheetData>
  <sheetProtection password="E9D4" sheet="1" objects="1" scenarios="1"/>
  <customSheetViews>
    <customSheetView guid="{871F8275-217B-436F-8813-871F820F0EE4}" scale="85" showPageBreaks="1" showGridLines="0" fitToPage="1" view="pageBreakPreview">
      <selection activeCell="E28" sqref="E28"/>
      <pageMargins left="0.19685039370078741" right="0.19685039370078741" top="0.39370078740157483" bottom="0.39370078740157483" header="0.19685039370078741" footer="0.19685039370078741"/>
      <pageSetup paperSize="9" scale="65" orientation="landscape" r:id="rId1"/>
      <headerFooter alignWithMargins="0">
        <oddFooter>&amp;L&amp;7&amp;D&amp;C&amp;7&amp;P&amp;R&amp;7&amp;F</oddFooter>
      </headerFooter>
    </customSheetView>
    <customSheetView guid="{2EBF18CB-80C9-43ED-A978-2AAEAC40933E}" scale="75" showGridLines="0" fitToPage="1" showRuler="0" topLeftCell="A6">
      <selection activeCell="G25" sqref="G25"/>
      <pageMargins left="0.19685039370078741" right="0.19685039370078741" top="0.39370078740157483" bottom="0.39370078740157483" header="0.19685039370078741" footer="0.19685039370078741"/>
      <pageSetup paperSize="9" scale="66" orientation="landscape" horizontalDpi="300" verticalDpi="300" r:id="rId2"/>
      <headerFooter alignWithMargins="0">
        <oddFooter>&amp;L&amp;7&amp;D&amp;C&amp;7&amp;P&amp;R&amp;7&amp;F</oddFooter>
      </headerFooter>
    </customSheetView>
    <customSheetView guid="{47D3AB49-9599-4A16-951B-F48FEC1C0136}" scale="75" showGridLines="0" fitToPage="1" topLeftCell="A10">
      <selection activeCell="E26" sqref="E26:E28"/>
      <pageMargins left="0.19685039370078741" right="0.19685039370078741" top="0.39370078740157483" bottom="0.39370078740157483" header="0.19685039370078741" footer="0.19685039370078741"/>
      <pageSetup paperSize="9" scale="66" orientation="landscape" horizontalDpi="300" verticalDpi="300" r:id="rId3"/>
      <headerFooter alignWithMargins="0">
        <oddFooter>&amp;L&amp;7&amp;D&amp;C&amp;7&amp;P&amp;R&amp;7&amp;F</oddFooter>
      </headerFooter>
    </customSheetView>
    <customSheetView guid="{ECE607A2-8A26-46E0-8BDC-E9AD788F604C}" scale="85" showPageBreaks="1" showGridLines="0" fitToPage="1" view="pageBreakPreview">
      <selection activeCell="L8" sqref="L8"/>
      <pageMargins left="0.19685039370078741" right="0.19685039370078741" top="0.39370078740157483" bottom="0.39370078740157483" header="0.19685039370078741" footer="0.19685039370078741"/>
      <pageSetup paperSize="9" scale="65" orientation="landscape" r:id="rId4"/>
      <headerFooter alignWithMargins="0">
        <oddFooter>&amp;L&amp;7&amp;D&amp;C&amp;7&amp;P&amp;R&amp;7&amp;F</oddFooter>
      </headerFooter>
    </customSheetView>
    <customSheetView guid="{FB1E0752-409C-4E7D-BCFE-7AEBEB8B5F0D}" scale="85" showPageBreaks="1" showGridLines="0" fitToPage="1" view="pageBreakPreview">
      <selection activeCell="C13" sqref="C13"/>
      <pageMargins left="0.19685039370078741" right="0.19685039370078741" top="0.39370078740157483" bottom="0.39370078740157483" header="0.19685039370078741" footer="0.19685039370078741"/>
      <pageSetup paperSize="9" scale="65" orientation="landscape" r:id="rId5"/>
      <headerFooter alignWithMargins="0">
        <oddFooter>&amp;L&amp;7&amp;D&amp;C&amp;7&amp;P&amp;R&amp;7&amp;F</oddFooter>
      </headerFooter>
    </customSheetView>
  </customSheetViews>
  <mergeCells count="2">
    <mergeCell ref="C4:H4"/>
    <mergeCell ref="K1:L1"/>
  </mergeCells>
  <phoneticPr fontId="0" type="noConversion"/>
  <pageMargins left="0.19685039370078741" right="0.19685039370078741" top="0.39370078740157483" bottom="0.39370078740157483" header="0.19685039370078741" footer="0.19685039370078741"/>
  <pageSetup paperSize="9" scale="66" orientation="landscape" r:id="rId6"/>
  <headerFooter alignWithMargins="0">
    <oddFooter>&amp;L&amp;7&amp;D&amp;C&amp;7&amp;P&amp;R&amp;7&amp;F</oddFooter>
  </headerFooter>
</worksheet>
</file>

<file path=xl/worksheets/sheet15.xml><?xml version="1.0" encoding="utf-8"?>
<worksheet xmlns="http://schemas.openxmlformats.org/spreadsheetml/2006/main" xmlns:r="http://schemas.openxmlformats.org/officeDocument/2006/relationships">
  <sheetPr codeName="Лист15"/>
  <dimension ref="B1:L28"/>
  <sheetViews>
    <sheetView topLeftCell="C16" workbookViewId="0"/>
  </sheetViews>
  <sheetFormatPr defaultRowHeight="16.5"/>
  <cols>
    <col min="1" max="1" width="1.7109375" style="238" customWidth="1"/>
    <col min="2" max="2" width="11.140625" style="238" customWidth="1"/>
    <col min="3" max="3" width="40.5703125" style="238" customWidth="1"/>
    <col min="4" max="12" width="18.7109375" style="238" customWidth="1"/>
    <col min="13" max="16384" width="9.140625" style="238"/>
  </cols>
  <sheetData>
    <row r="1" spans="2:12" s="87" customFormat="1" ht="34.5" customHeight="1">
      <c r="B1" s="226"/>
      <c r="C1" s="227"/>
      <c r="D1" s="228"/>
      <c r="E1" s="228"/>
      <c r="F1" s="228"/>
      <c r="G1" s="228"/>
      <c r="H1" s="228"/>
      <c r="I1" s="228"/>
      <c r="J1" s="228"/>
      <c r="K1" s="1189" t="s">
        <v>1859</v>
      </c>
      <c r="L1" s="1173"/>
    </row>
    <row r="2" spans="2:12" s="87" customFormat="1" ht="18">
      <c r="B2" s="226"/>
      <c r="C2" s="39" t="str">
        <f>T!E18</f>
        <v>Номгӯи ташкилоти қарзӣ</v>
      </c>
      <c r="D2" s="229"/>
      <c r="E2" s="229"/>
      <c r="F2" s="229"/>
      <c r="G2" s="229"/>
      <c r="H2" s="229"/>
      <c r="I2" s="228"/>
      <c r="J2" s="228"/>
      <c r="K2" s="228"/>
      <c r="L2" s="228"/>
    </row>
    <row r="3" spans="2:12" s="87" customFormat="1" ht="18">
      <c r="B3" s="226"/>
      <c r="C3" s="230" t="str">
        <f>T!B10</f>
        <v>Ҳисобот дар санаи</v>
      </c>
      <c r="D3" s="229"/>
      <c r="E3" s="229"/>
      <c r="F3" s="229"/>
      <c r="G3" s="229"/>
      <c r="H3" s="229"/>
      <c r="I3" s="228"/>
      <c r="J3" s="228"/>
      <c r="K3" s="228"/>
      <c r="L3" s="228"/>
    </row>
    <row r="4" spans="2:12" s="87" customFormat="1" ht="18">
      <c r="B4" s="231"/>
      <c r="C4" s="1190" t="str">
        <f>'List of Scedules'!B14</f>
        <v>ҶАДВАЛИ 05.02. ДОРОИҲОИ БАТАЪХИРАФТОДА БО АСЪОРИ ХОРИҶӢ</v>
      </c>
      <c r="D4" s="1190"/>
      <c r="E4" s="1191"/>
      <c r="F4" s="1191"/>
      <c r="G4" s="1191"/>
      <c r="H4" s="1191"/>
      <c r="I4" s="232"/>
      <c r="J4" s="232"/>
      <c r="K4" s="232"/>
      <c r="L4" s="232"/>
    </row>
    <row r="5" spans="2:12" s="237" customFormat="1" ht="17.25">
      <c r="B5" s="233"/>
      <c r="C5" s="234"/>
      <c r="D5" s="235"/>
      <c r="E5" s="235"/>
      <c r="F5" s="235"/>
      <c r="G5" s="235"/>
      <c r="H5" s="236"/>
      <c r="I5" s="236"/>
      <c r="J5" s="236"/>
      <c r="K5" s="236"/>
      <c r="L5" s="236"/>
    </row>
    <row r="6" spans="2:12" ht="57.95" customHeight="1">
      <c r="B6" s="220"/>
      <c r="C6" s="192" t="s">
        <v>1659</v>
      </c>
      <c r="D6" s="192" t="s">
        <v>1660</v>
      </c>
      <c r="E6" s="193" t="s">
        <v>1661</v>
      </c>
      <c r="F6" s="192" t="s">
        <v>2204</v>
      </c>
      <c r="G6" s="192" t="s">
        <v>2205</v>
      </c>
      <c r="H6" s="998" t="s">
        <v>2201</v>
      </c>
      <c r="I6" s="998" t="s">
        <v>2197</v>
      </c>
      <c r="J6" s="998" t="s">
        <v>2202</v>
      </c>
      <c r="K6" s="998" t="s">
        <v>2203</v>
      </c>
      <c r="L6" s="998" t="s">
        <v>2196</v>
      </c>
    </row>
    <row r="7" spans="2:12" ht="17.25">
      <c r="B7" s="220"/>
      <c r="C7" s="221">
        <v>1</v>
      </c>
      <c r="D7" s="222">
        <v>2</v>
      </c>
      <c r="E7" s="222">
        <v>3</v>
      </c>
      <c r="F7" s="222">
        <v>4</v>
      </c>
      <c r="G7" s="222">
        <v>5</v>
      </c>
      <c r="H7" s="222">
        <v>6</v>
      </c>
      <c r="I7" s="222">
        <v>7</v>
      </c>
      <c r="J7" s="222">
        <v>8</v>
      </c>
      <c r="K7" s="222">
        <v>9</v>
      </c>
      <c r="L7" s="222">
        <v>10</v>
      </c>
    </row>
    <row r="8" spans="2:12" ht="18">
      <c r="B8" s="223" t="s">
        <v>315</v>
      </c>
      <c r="C8" s="197" t="s">
        <v>1465</v>
      </c>
      <c r="D8" s="224">
        <f t="shared" ref="D8:L8" si="0">SUM(D9:D14)</f>
        <v>0</v>
      </c>
      <c r="E8" s="224">
        <f t="shared" si="0"/>
        <v>0</v>
      </c>
      <c r="F8" s="224">
        <f t="shared" si="0"/>
        <v>0</v>
      </c>
      <c r="G8" s="224">
        <f>SUM(G9:G14)</f>
        <v>0</v>
      </c>
      <c r="H8" s="224">
        <f t="shared" si="0"/>
        <v>0</v>
      </c>
      <c r="I8" s="224">
        <f t="shared" si="0"/>
        <v>0</v>
      </c>
      <c r="J8" s="224">
        <f t="shared" si="0"/>
        <v>0</v>
      </c>
      <c r="K8" s="224">
        <f t="shared" si="0"/>
        <v>0</v>
      </c>
      <c r="L8" s="224">
        <f t="shared" si="0"/>
        <v>0</v>
      </c>
    </row>
    <row r="9" spans="2:12" ht="18">
      <c r="B9" s="223" t="s">
        <v>316</v>
      </c>
      <c r="C9" s="199" t="s">
        <v>1298</v>
      </c>
      <c r="D9" s="224">
        <f t="shared" ref="D9:D15" si="1">+E9+G9</f>
        <v>0</v>
      </c>
      <c r="E9" s="9"/>
      <c r="F9" s="9"/>
      <c r="G9" s="224">
        <f>SUM(H9:L9)</f>
        <v>0</v>
      </c>
      <c r="H9" s="9"/>
      <c r="I9" s="9"/>
      <c r="J9" s="9"/>
      <c r="K9" s="9"/>
      <c r="L9" s="9"/>
    </row>
    <row r="10" spans="2:12" ht="18">
      <c r="B10" s="223" t="s">
        <v>317</v>
      </c>
      <c r="C10" s="199" t="s">
        <v>1466</v>
      </c>
      <c r="D10" s="224">
        <f t="shared" si="1"/>
        <v>0</v>
      </c>
      <c r="E10" s="9"/>
      <c r="F10" s="9"/>
      <c r="G10" s="224">
        <f t="shared" ref="G10:G28" si="2">SUM(H10:L10)</f>
        <v>0</v>
      </c>
      <c r="H10" s="9"/>
      <c r="I10" s="9"/>
      <c r="J10" s="9"/>
      <c r="K10" s="9"/>
      <c r="L10" s="9"/>
    </row>
    <row r="11" spans="2:12" ht="18">
      <c r="B11" s="196" t="s">
        <v>1674</v>
      </c>
      <c r="C11" s="8" t="s">
        <v>1468</v>
      </c>
      <c r="D11" s="224">
        <f t="shared" si="1"/>
        <v>0</v>
      </c>
      <c r="E11" s="9"/>
      <c r="F11" s="9"/>
      <c r="G11" s="224">
        <f t="shared" si="2"/>
        <v>0</v>
      </c>
      <c r="H11" s="9"/>
      <c r="I11" s="9"/>
      <c r="J11" s="9"/>
      <c r="K11" s="9"/>
      <c r="L11" s="9"/>
    </row>
    <row r="12" spans="2:12" ht="18">
      <c r="B12" s="223" t="s">
        <v>318</v>
      </c>
      <c r="C12" s="8" t="s">
        <v>1469</v>
      </c>
      <c r="D12" s="224">
        <f t="shared" si="1"/>
        <v>0</v>
      </c>
      <c r="E12" s="9"/>
      <c r="F12" s="9"/>
      <c r="G12" s="224">
        <f t="shared" si="2"/>
        <v>0</v>
      </c>
      <c r="H12" s="9"/>
      <c r="I12" s="9"/>
      <c r="J12" s="9"/>
      <c r="K12" s="9"/>
      <c r="L12" s="9"/>
    </row>
    <row r="13" spans="2:12" ht="18">
      <c r="B13" s="223" t="s">
        <v>319</v>
      </c>
      <c r="C13" s="199" t="s">
        <v>1470</v>
      </c>
      <c r="D13" s="224">
        <f t="shared" si="1"/>
        <v>0</v>
      </c>
      <c r="E13" s="9"/>
      <c r="F13" s="9"/>
      <c r="G13" s="224">
        <f t="shared" si="2"/>
        <v>0</v>
      </c>
      <c r="H13" s="9"/>
      <c r="I13" s="9"/>
      <c r="J13" s="9"/>
      <c r="K13" s="9"/>
      <c r="L13" s="9"/>
    </row>
    <row r="14" spans="2:12" ht="18">
      <c r="B14" s="223" t="s">
        <v>320</v>
      </c>
      <c r="C14" s="199" t="s">
        <v>1768</v>
      </c>
      <c r="D14" s="224">
        <f t="shared" si="1"/>
        <v>0</v>
      </c>
      <c r="E14" s="9"/>
      <c r="F14" s="9"/>
      <c r="G14" s="224">
        <f t="shared" si="2"/>
        <v>0</v>
      </c>
      <c r="H14" s="9"/>
      <c r="I14" s="9"/>
      <c r="J14" s="9"/>
      <c r="K14" s="9"/>
      <c r="L14" s="9"/>
    </row>
    <row r="15" spans="2:12" ht="15.75" customHeight="1">
      <c r="B15" s="223" t="s">
        <v>321</v>
      </c>
      <c r="C15" s="1056" t="s">
        <v>1540</v>
      </c>
      <c r="D15" s="224">
        <f t="shared" si="1"/>
        <v>0</v>
      </c>
      <c r="E15" s="9">
        <v>0</v>
      </c>
      <c r="F15" s="9">
        <v>0</v>
      </c>
      <c r="G15" s="224">
        <f t="shared" si="2"/>
        <v>0</v>
      </c>
      <c r="H15" s="9"/>
      <c r="I15" s="9"/>
      <c r="J15" s="9"/>
      <c r="K15" s="9"/>
      <c r="L15" s="9"/>
    </row>
    <row r="16" spans="2:12" ht="18">
      <c r="B16" s="196" t="s">
        <v>1675</v>
      </c>
      <c r="C16" s="11" t="s">
        <v>1475</v>
      </c>
      <c r="D16" s="198">
        <f>SUM(D17:D22)</f>
        <v>0</v>
      </c>
      <c r="E16" s="198">
        <f t="shared" ref="E16:L16" si="3">SUM(E17:E22)</f>
        <v>0</v>
      </c>
      <c r="F16" s="198">
        <f t="shared" si="3"/>
        <v>0</v>
      </c>
      <c r="G16" s="198">
        <f t="shared" si="3"/>
        <v>0</v>
      </c>
      <c r="H16" s="198">
        <f>SUM(H17:H22)</f>
        <v>0</v>
      </c>
      <c r="I16" s="198">
        <f t="shared" si="3"/>
        <v>0</v>
      </c>
      <c r="J16" s="198">
        <f t="shared" si="3"/>
        <v>0</v>
      </c>
      <c r="K16" s="198">
        <f t="shared" si="3"/>
        <v>0</v>
      </c>
      <c r="L16" s="198">
        <f t="shared" si="3"/>
        <v>0</v>
      </c>
    </row>
    <row r="17" spans="2:12" ht="18">
      <c r="B17" s="196" t="s">
        <v>1676</v>
      </c>
      <c r="C17" s="8" t="s">
        <v>1298</v>
      </c>
      <c r="D17" s="198">
        <f t="shared" ref="D17:D28" si="4">+E17+G17</f>
        <v>0</v>
      </c>
      <c r="E17" s="9">
        <v>0</v>
      </c>
      <c r="F17" s="200">
        <v>0</v>
      </c>
      <c r="G17" s="198">
        <f t="shared" ref="G17:G22" si="5">SUM(H17:L17)</f>
        <v>0</v>
      </c>
      <c r="H17" s="9">
        <f>[1]OA05.02!H17/2</f>
        <v>0</v>
      </c>
      <c r="I17" s="9">
        <f>[1]OA05.02!H17/2</f>
        <v>0</v>
      </c>
      <c r="J17" s="9">
        <f>[1]OA05.02!I17+[1]OA05.02!J17</f>
        <v>0</v>
      </c>
      <c r="K17" s="9">
        <f>[1]OA05.02!K17+[1]OA05.02!L17</f>
        <v>0</v>
      </c>
      <c r="L17" s="9">
        <f>[1]OA05.02!M17</f>
        <v>0</v>
      </c>
    </row>
    <row r="18" spans="2:12" ht="18">
      <c r="B18" s="196" t="s">
        <v>1677</v>
      </c>
      <c r="C18" s="8" t="s">
        <v>1466</v>
      </c>
      <c r="D18" s="198">
        <f t="shared" si="4"/>
        <v>0</v>
      </c>
      <c r="E18" s="9">
        <v>0</v>
      </c>
      <c r="F18" s="200">
        <v>0</v>
      </c>
      <c r="G18" s="198">
        <f t="shared" si="5"/>
        <v>0</v>
      </c>
      <c r="H18" s="9">
        <f>[1]OA05.02!H18/2</f>
        <v>0</v>
      </c>
      <c r="I18" s="9">
        <f>[1]OA05.02!H18/2</f>
        <v>0</v>
      </c>
      <c r="J18" s="9">
        <f>[1]OA05.02!I18+[1]OA05.02!J18</f>
        <v>0</v>
      </c>
      <c r="K18" s="9">
        <f>[1]OA05.02!K18+[1]OA05.02!L18</f>
        <v>0</v>
      </c>
      <c r="L18" s="9">
        <f>[1]OA05.02!M18</f>
        <v>0</v>
      </c>
    </row>
    <row r="19" spans="2:12" ht="18">
      <c r="B19" s="196" t="s">
        <v>1678</v>
      </c>
      <c r="C19" s="8" t="s">
        <v>1468</v>
      </c>
      <c r="D19" s="198">
        <f t="shared" si="4"/>
        <v>0</v>
      </c>
      <c r="E19" s="9">
        <v>0</v>
      </c>
      <c r="F19" s="200">
        <v>0</v>
      </c>
      <c r="G19" s="198">
        <f t="shared" si="5"/>
        <v>0</v>
      </c>
      <c r="H19" s="9">
        <f>[1]OA05.02!H19/2</f>
        <v>0</v>
      </c>
      <c r="I19" s="9">
        <f>[1]OA05.02!H19/2</f>
        <v>0</v>
      </c>
      <c r="J19" s="9">
        <f>[1]OA05.02!I19+[1]OA05.02!J19</f>
        <v>0</v>
      </c>
      <c r="K19" s="9">
        <f>[1]OA05.02!K19+[1]OA05.02!L19</f>
        <v>0</v>
      </c>
      <c r="L19" s="9">
        <f>[1]OA05.02!M19</f>
        <v>0</v>
      </c>
    </row>
    <row r="20" spans="2:12" ht="18">
      <c r="B20" s="196" t="s">
        <v>1679</v>
      </c>
      <c r="C20" s="8" t="s">
        <v>1469</v>
      </c>
      <c r="D20" s="198">
        <f t="shared" si="4"/>
        <v>0</v>
      </c>
      <c r="E20" s="9">
        <v>0</v>
      </c>
      <c r="F20" s="200">
        <v>0</v>
      </c>
      <c r="G20" s="198">
        <f t="shared" si="5"/>
        <v>0</v>
      </c>
      <c r="H20" s="9">
        <f>[1]OA05.02!H20/2</f>
        <v>0</v>
      </c>
      <c r="I20" s="9">
        <f>[1]OA05.02!H20/2</f>
        <v>0</v>
      </c>
      <c r="J20" s="9">
        <f>[1]OA05.02!I20+[1]OA05.02!J20</f>
        <v>0</v>
      </c>
      <c r="K20" s="9">
        <f>[1]OA05.02!K20+[1]OA05.02!L20</f>
        <v>0</v>
      </c>
      <c r="L20" s="9">
        <f>[1]OA05.02!M20</f>
        <v>0</v>
      </c>
    </row>
    <row r="21" spans="2:12" ht="18">
      <c r="B21" s="196" t="s">
        <v>1680</v>
      </c>
      <c r="C21" s="8" t="s">
        <v>1470</v>
      </c>
      <c r="D21" s="198">
        <f t="shared" si="4"/>
        <v>0</v>
      </c>
      <c r="E21" s="9">
        <v>0</v>
      </c>
      <c r="F21" s="200">
        <v>0</v>
      </c>
      <c r="G21" s="198">
        <f t="shared" si="5"/>
        <v>0</v>
      </c>
      <c r="H21" s="9">
        <f>[1]OA05.02!H21/2</f>
        <v>0</v>
      </c>
      <c r="I21" s="9">
        <f>[1]OA05.02!H21/2</f>
        <v>0</v>
      </c>
      <c r="J21" s="9">
        <f>[1]OA05.02!I21+[1]OA05.02!J21</f>
        <v>0</v>
      </c>
      <c r="K21" s="9">
        <f>[1]OA05.02!K21+[1]OA05.02!L21</f>
        <v>0</v>
      </c>
      <c r="L21" s="9">
        <f>[1]OA05.02!M21</f>
        <v>0</v>
      </c>
    </row>
    <row r="22" spans="2:12" ht="18">
      <c r="B22" s="196" t="s">
        <v>1681</v>
      </c>
      <c r="C22" s="8" t="s">
        <v>1745</v>
      </c>
      <c r="D22" s="198">
        <f t="shared" si="4"/>
        <v>0</v>
      </c>
      <c r="E22" s="9">
        <v>0</v>
      </c>
      <c r="F22" s="200">
        <v>0</v>
      </c>
      <c r="G22" s="198">
        <f t="shared" si="5"/>
        <v>0</v>
      </c>
      <c r="H22" s="9">
        <f>[1]OA05.02!H22/2</f>
        <v>0</v>
      </c>
      <c r="I22" s="9">
        <f>[1]OA05.02!H22/2</f>
        <v>0</v>
      </c>
      <c r="J22" s="9">
        <f>[1]OA05.02!I22+[1]OA05.02!J22</f>
        <v>0</v>
      </c>
      <c r="K22" s="9">
        <f>[1]OA05.02!K22+[1]OA05.02!L22</f>
        <v>0</v>
      </c>
      <c r="L22" s="9">
        <f>[1]OA05.02!M22</f>
        <v>0</v>
      </c>
    </row>
    <row r="23" spans="2:12" ht="36">
      <c r="B23" s="223" t="s">
        <v>322</v>
      </c>
      <c r="C23" s="199" t="s">
        <v>1093</v>
      </c>
      <c r="D23" s="224">
        <f t="shared" si="4"/>
        <v>0</v>
      </c>
      <c r="E23" s="9">
        <v>0</v>
      </c>
      <c r="F23" s="225">
        <v>0</v>
      </c>
      <c r="G23" s="224">
        <f t="shared" si="2"/>
        <v>0</v>
      </c>
      <c r="H23" s="9">
        <f>[1]OA05.02!H23/2</f>
        <v>0</v>
      </c>
      <c r="I23" s="9">
        <f>[1]OA05.02!H23/2</f>
        <v>0</v>
      </c>
      <c r="J23" s="9">
        <f>[1]OA05.02!I23+[1]OA05.02!J23</f>
        <v>0</v>
      </c>
      <c r="K23" s="9">
        <f>[1]OA05.02!K23+[1]OA05.02!L23</f>
        <v>0</v>
      </c>
      <c r="L23" s="9">
        <f>[1]OA05.02!M23</f>
        <v>0</v>
      </c>
    </row>
    <row r="24" spans="2:12" ht="18">
      <c r="B24" s="223" t="s">
        <v>323</v>
      </c>
      <c r="C24" s="199" t="s">
        <v>1670</v>
      </c>
      <c r="D24" s="224">
        <f t="shared" si="4"/>
        <v>0</v>
      </c>
      <c r="E24" s="225">
        <v>0</v>
      </c>
      <c r="F24" s="225">
        <v>0</v>
      </c>
      <c r="G24" s="224">
        <f t="shared" si="2"/>
        <v>0</v>
      </c>
      <c r="H24" s="9">
        <f>[1]OA05.02!H24/2</f>
        <v>0</v>
      </c>
      <c r="I24" s="9">
        <f>[1]OA05.02!H24/2</f>
        <v>0</v>
      </c>
      <c r="J24" s="9">
        <f>[1]OA05.02!I24+[1]OA05.02!J24</f>
        <v>0</v>
      </c>
      <c r="K24" s="9">
        <f>[1]OA05.02!K24+[1]OA05.02!L24</f>
        <v>0</v>
      </c>
      <c r="L24" s="9">
        <f>[1]OA05.02!M24</f>
        <v>0</v>
      </c>
    </row>
    <row r="25" spans="2:12" ht="36">
      <c r="B25" s="223" t="s">
        <v>324</v>
      </c>
      <c r="C25" s="199" t="s">
        <v>1094</v>
      </c>
      <c r="D25" s="224">
        <f t="shared" si="4"/>
        <v>0</v>
      </c>
      <c r="E25" s="225">
        <v>0</v>
      </c>
      <c r="F25" s="225">
        <v>0</v>
      </c>
      <c r="G25" s="224">
        <f t="shared" si="2"/>
        <v>0</v>
      </c>
      <c r="H25" s="9">
        <f>[1]OA05.02!H25/2</f>
        <v>0</v>
      </c>
      <c r="I25" s="9">
        <f>[1]OA05.02!H25/2</f>
        <v>0</v>
      </c>
      <c r="J25" s="9">
        <f>[1]OA05.02!I25+[1]OA05.02!J25</f>
        <v>0</v>
      </c>
      <c r="K25" s="9">
        <f>[1]OA05.02!K25+[1]OA05.02!L25</f>
        <v>0</v>
      </c>
      <c r="L25" s="9">
        <f>[1]OA05.02!M25</f>
        <v>0</v>
      </c>
    </row>
    <row r="26" spans="2:12" ht="36">
      <c r="B26" s="223" t="s">
        <v>1682</v>
      </c>
      <c r="C26" s="199" t="s">
        <v>1672</v>
      </c>
      <c r="D26" s="224">
        <f t="shared" si="4"/>
        <v>0</v>
      </c>
      <c r="E26" s="225"/>
      <c r="F26" s="225"/>
      <c r="G26" s="224">
        <f>SUM(H26:L26)</f>
        <v>0</v>
      </c>
      <c r="H26" s="9">
        <f>[1]OA05.02!H26/2</f>
        <v>0</v>
      </c>
      <c r="I26" s="9">
        <f>[1]OA05.02!H26/2</f>
        <v>0</v>
      </c>
      <c r="J26" s="9">
        <f>[1]OA05.02!I26+[1]OA05.02!J26</f>
        <v>0</v>
      </c>
      <c r="K26" s="9">
        <f>[1]OA05.02!K26+[1]OA05.02!L26</f>
        <v>0</v>
      </c>
      <c r="L26" s="9">
        <f>[1]OA05.02!M26</f>
        <v>0</v>
      </c>
    </row>
    <row r="27" spans="2:12" ht="18">
      <c r="B27" s="223" t="s">
        <v>325</v>
      </c>
      <c r="C27" s="199" t="s">
        <v>226</v>
      </c>
      <c r="D27" s="224">
        <f t="shared" si="4"/>
        <v>0</v>
      </c>
      <c r="E27" s="225"/>
      <c r="F27" s="225"/>
      <c r="G27" s="224">
        <f t="shared" si="2"/>
        <v>0</v>
      </c>
      <c r="H27" s="9">
        <f>[1]OA05.02!H27/2</f>
        <v>0</v>
      </c>
      <c r="I27" s="9">
        <f>[1]OA05.02!H27/2</f>
        <v>0</v>
      </c>
      <c r="J27" s="9">
        <f>[1]OA05.02!I27+[1]OA05.02!J27</f>
        <v>0</v>
      </c>
      <c r="K27" s="9">
        <f>[1]OA05.02!K27+[1]OA05.02!L27</f>
        <v>0</v>
      </c>
      <c r="L27" s="9">
        <f>[1]OA05.02!M27</f>
        <v>0</v>
      </c>
    </row>
    <row r="28" spans="2:12" ht="54">
      <c r="B28" s="223" t="s">
        <v>828</v>
      </c>
      <c r="C28" s="199" t="s">
        <v>1673</v>
      </c>
      <c r="D28" s="224">
        <f t="shared" si="4"/>
        <v>0</v>
      </c>
      <c r="E28" s="225"/>
      <c r="F28" s="225"/>
      <c r="G28" s="224">
        <f t="shared" si="2"/>
        <v>0</v>
      </c>
      <c r="H28" s="9">
        <f>[1]OA05.02!H28/2</f>
        <v>0</v>
      </c>
      <c r="I28" s="9">
        <f>[1]OA05.02!H28/2</f>
        <v>0</v>
      </c>
      <c r="J28" s="9">
        <f>[1]OA05.02!I28+[1]OA05.02!J28</f>
        <v>0</v>
      </c>
      <c r="K28" s="9">
        <f>[1]OA05.02!K28+[1]OA05.02!L28</f>
        <v>0</v>
      </c>
      <c r="L28" s="9"/>
    </row>
  </sheetData>
  <sheetProtection password="E9D4" sheet="1" objects="1" scenarios="1"/>
  <customSheetViews>
    <customSheetView guid="{871F8275-217B-436F-8813-871F820F0EE4}" scale="85" showPageBreaks="1" showGridLines="0" view="pageBreakPreview">
      <selection activeCell="B10" sqref="B10"/>
      <pageMargins left="0.19685039370078741" right="0.19685039370078741" top="0.39370078740157483" bottom="0.39370078740157483" header="0.19685039370078741" footer="0.19685039370078741"/>
      <pageSetup paperSize="9" scale="66" orientation="landscape" r:id="rId1"/>
      <headerFooter alignWithMargins="0">
        <oddFooter>&amp;L&amp;7&amp;D&amp;C&amp;7&amp;P&amp;R&amp;7&amp;F</oddFooter>
      </headerFooter>
    </customSheetView>
    <customSheetView guid="{2EBF18CB-80C9-43ED-A978-2AAEAC40933E}" scale="75" showGridLines="0" showRuler="0">
      <selection activeCell="G25" sqref="G25"/>
      <pageMargins left="0.19685039370078741" right="0.19685039370078741" top="0.39370078740157483" bottom="0.39370078740157483" header="0.19685039370078741" footer="0.19685039370078741"/>
      <pageSetup paperSize="9" scale="66" orientation="landscape" horizontalDpi="300" verticalDpi="300" r:id="rId2"/>
      <headerFooter alignWithMargins="0">
        <oddFooter>&amp;L&amp;7&amp;D&amp;C&amp;7&amp;P&amp;R&amp;7&amp;F</oddFooter>
      </headerFooter>
    </customSheetView>
    <customSheetView guid="{47D3AB49-9599-4A16-951B-F48FEC1C0136}" scale="75" showGridLines="0" topLeftCell="A16">
      <selection activeCell="E28" sqref="E28"/>
      <pageMargins left="0.19685039370078741" right="0.19685039370078741" top="0.39370078740157483" bottom="0.39370078740157483" header="0.19685039370078741" footer="0.19685039370078741"/>
      <pageSetup paperSize="9" scale="66" orientation="landscape" horizontalDpi="300" verticalDpi="300" r:id="rId3"/>
      <headerFooter alignWithMargins="0">
        <oddFooter>&amp;L&amp;7&amp;D&amp;C&amp;7&amp;P&amp;R&amp;7&amp;F</oddFooter>
      </headerFooter>
    </customSheetView>
    <customSheetView guid="{ECE607A2-8A26-46E0-8BDC-E9AD788F604C}" scale="85" showPageBreaks="1" showGridLines="0" view="pageBreakPreview">
      <selection activeCell="A14" sqref="A14"/>
      <pageMargins left="0.19685039370078741" right="0.19685039370078741" top="0.39370078740157483" bottom="0.39370078740157483" header="0.19685039370078741" footer="0.19685039370078741"/>
      <pageSetup paperSize="9" scale="66" orientation="landscape" r:id="rId4"/>
      <headerFooter alignWithMargins="0">
        <oddFooter>&amp;L&amp;7&amp;D&amp;C&amp;7&amp;P&amp;R&amp;7&amp;F</oddFooter>
      </headerFooter>
    </customSheetView>
    <customSheetView guid="{FB1E0752-409C-4E7D-BCFE-7AEBEB8B5F0D}" scale="85" showPageBreaks="1" showGridLines="0" view="pageBreakPreview">
      <selection activeCell="D13" sqref="D13"/>
      <pageMargins left="0.19685039370078741" right="0.19685039370078741" top="0.39370078740157483" bottom="0.39370078740157483" header="0.19685039370078741" footer="0.19685039370078741"/>
      <pageSetup paperSize="9" scale="66" orientation="landscape" r:id="rId5"/>
      <headerFooter alignWithMargins="0">
        <oddFooter>&amp;L&amp;7&amp;D&amp;C&amp;7&amp;P&amp;R&amp;7&amp;F</oddFooter>
      </headerFooter>
    </customSheetView>
  </customSheetViews>
  <mergeCells count="2">
    <mergeCell ref="C4:H4"/>
    <mergeCell ref="K1:L1"/>
  </mergeCells>
  <phoneticPr fontId="0" type="noConversion"/>
  <pageMargins left="0.19685039370078741" right="0.19685039370078741" top="0.39370078740157483" bottom="0.39370078740157483" header="0.19685039370078741" footer="0.19685039370078741"/>
  <pageSetup paperSize="9" scale="60" orientation="landscape" r:id="rId6"/>
  <headerFooter alignWithMargins="0">
    <oddFooter>&amp;L&amp;7&amp;D&amp;C&amp;7&amp;P&amp;R&amp;7&amp;F</oddFooter>
  </headerFooter>
</worksheet>
</file>

<file path=xl/worksheets/sheet16.xml><?xml version="1.0" encoding="utf-8"?>
<worksheet xmlns="http://schemas.openxmlformats.org/spreadsheetml/2006/main" xmlns:r="http://schemas.openxmlformats.org/officeDocument/2006/relationships">
  <sheetPr codeName="Лист16"/>
  <dimension ref="B1:P28"/>
  <sheetViews>
    <sheetView topLeftCell="A6" workbookViewId="0">
      <selection activeCell="C13" sqref="C13"/>
    </sheetView>
  </sheetViews>
  <sheetFormatPr defaultColWidth="12.42578125" defaultRowHeight="16.5"/>
  <cols>
    <col min="1" max="1" width="1.28515625" style="238" customWidth="1"/>
    <col min="2" max="2" width="10.42578125" style="238" bestFit="1" customWidth="1"/>
    <col min="3" max="3" width="40.85546875" style="238" customWidth="1"/>
    <col min="4" max="14" width="16.7109375" style="238" customWidth="1"/>
    <col min="15" max="15" width="16.5703125" style="238" customWidth="1"/>
    <col min="16" max="16384" width="12.42578125" style="238"/>
  </cols>
  <sheetData>
    <row r="1" spans="2:16" s="87" customFormat="1" ht="31.5" customHeight="1">
      <c r="B1" s="249"/>
      <c r="C1" s="250"/>
      <c r="D1" s="251"/>
      <c r="E1" s="251"/>
      <c r="F1" s="251"/>
      <c r="G1" s="251"/>
      <c r="H1" s="251"/>
      <c r="I1" s="251"/>
      <c r="J1" s="251"/>
      <c r="K1" s="251"/>
      <c r="L1" s="251"/>
      <c r="N1" s="1189" t="s">
        <v>1860</v>
      </c>
      <c r="O1" s="1168"/>
      <c r="P1" s="252"/>
    </row>
    <row r="2" spans="2:16" s="87" customFormat="1" ht="18">
      <c r="B2" s="249"/>
      <c r="C2" s="39" t="str">
        <f>T!E18</f>
        <v>Номгӯи ташкилоти қарзӣ</v>
      </c>
      <c r="D2" s="253"/>
      <c r="E2" s="253"/>
      <c r="F2" s="253"/>
      <c r="G2" s="253"/>
      <c r="H2" s="253"/>
      <c r="I2" s="253"/>
      <c r="J2" s="253"/>
      <c r="K2" s="253"/>
      <c r="L2" s="253"/>
      <c r="M2" s="251"/>
      <c r="N2" s="251"/>
      <c r="O2" s="86"/>
      <c r="P2" s="252"/>
    </row>
    <row r="3" spans="2:16" s="87" customFormat="1" ht="18">
      <c r="B3" s="249"/>
      <c r="C3" s="254" t="str">
        <f>T!B10</f>
        <v>Ҳисобот дар санаи</v>
      </c>
      <c r="D3" s="253"/>
      <c r="E3" s="253"/>
      <c r="F3" s="253"/>
      <c r="G3" s="253"/>
      <c r="H3" s="253"/>
      <c r="I3" s="253"/>
      <c r="J3" s="253"/>
      <c r="K3" s="253"/>
      <c r="L3" s="253"/>
      <c r="M3" s="251"/>
      <c r="N3" s="251"/>
      <c r="O3" s="251"/>
      <c r="P3" s="252"/>
    </row>
    <row r="4" spans="2:16" s="87" customFormat="1" ht="18">
      <c r="B4" s="249"/>
      <c r="C4" s="1192" t="str">
        <f>'List of Scedules'!B15</f>
        <v>ҶАДВАЛИ 06.01. ТАСНИФИ ДОРОИҲО АЗ РӮИ ХАВФ БО ПУЛИ МИЛЛӢ</v>
      </c>
      <c r="D4" s="1192"/>
      <c r="E4" s="1192"/>
      <c r="F4" s="1192"/>
      <c r="G4" s="1192"/>
      <c r="H4" s="1192"/>
      <c r="I4" s="1192"/>
      <c r="J4" s="1192"/>
      <c r="K4" s="1192"/>
      <c r="L4" s="1192"/>
      <c r="M4" s="255"/>
      <c r="N4" s="255"/>
      <c r="O4" s="255"/>
      <c r="P4" s="252"/>
    </row>
    <row r="5" spans="2:16" s="237" customFormat="1" ht="17.25">
      <c r="B5" s="256"/>
      <c r="C5" s="257"/>
      <c r="D5" s="257"/>
      <c r="E5" s="257"/>
      <c r="F5" s="257"/>
      <c r="G5" s="257"/>
      <c r="H5" s="257"/>
      <c r="I5" s="257"/>
      <c r="J5" s="257"/>
      <c r="K5" s="257"/>
      <c r="L5" s="257"/>
      <c r="M5" s="257"/>
      <c r="N5" s="257"/>
      <c r="O5" s="258"/>
      <c r="P5" s="259"/>
    </row>
    <row r="6" spans="2:16" s="216" customFormat="1" ht="54">
      <c r="B6" s="239"/>
      <c r="C6" s="240" t="s">
        <v>1659</v>
      </c>
      <c r="D6" s="240" t="s">
        <v>1268</v>
      </c>
      <c r="E6" s="999" t="s">
        <v>2210</v>
      </c>
      <c r="F6" s="999" t="s">
        <v>1683</v>
      </c>
      <c r="G6" s="1000" t="s">
        <v>2199</v>
      </c>
      <c r="H6" s="999" t="s">
        <v>2084</v>
      </c>
      <c r="I6" s="1000" t="s">
        <v>2199</v>
      </c>
      <c r="J6" s="999" t="s">
        <v>1684</v>
      </c>
      <c r="K6" s="1000" t="s">
        <v>2200</v>
      </c>
      <c r="L6" s="999" t="s">
        <v>1097</v>
      </c>
      <c r="M6" s="1000" t="s">
        <v>2200</v>
      </c>
      <c r="N6" s="999" t="s">
        <v>1750</v>
      </c>
      <c r="O6" s="1000" t="s">
        <v>2200</v>
      </c>
      <c r="P6" s="260"/>
    </row>
    <row r="7" spans="2:16" ht="17.25">
      <c r="B7" s="242"/>
      <c r="C7" s="243">
        <v>1</v>
      </c>
      <c r="D7" s="243">
        <v>2</v>
      </c>
      <c r="E7" s="243">
        <v>3</v>
      </c>
      <c r="F7" s="243">
        <v>4</v>
      </c>
      <c r="G7" s="244">
        <v>5</v>
      </c>
      <c r="H7" s="243">
        <v>6</v>
      </c>
      <c r="I7" s="243">
        <v>7</v>
      </c>
      <c r="J7" s="243">
        <v>8</v>
      </c>
      <c r="K7" s="243">
        <v>9</v>
      </c>
      <c r="L7" s="243">
        <v>10</v>
      </c>
      <c r="M7" s="243">
        <v>11</v>
      </c>
      <c r="N7" s="243">
        <v>12</v>
      </c>
      <c r="O7" s="243">
        <v>13</v>
      </c>
      <c r="P7" s="261"/>
    </row>
    <row r="8" spans="2:16" ht="18">
      <c r="B8" s="245" t="s">
        <v>569</v>
      </c>
      <c r="C8" s="197" t="s">
        <v>1465</v>
      </c>
      <c r="D8" s="246">
        <f>+F8+H8+J8+L8+N8</f>
        <v>0</v>
      </c>
      <c r="E8" s="246">
        <f>+G8+I8+K8+M8+O8</f>
        <v>0</v>
      </c>
      <c r="F8" s="246">
        <f>SUM(F9:F14)</f>
        <v>0</v>
      </c>
      <c r="G8" s="246">
        <f t="shared" ref="G8:O8" si="0">SUM(G9:G14)</f>
        <v>0</v>
      </c>
      <c r="H8" s="246">
        <f>SUM(H9:H14)</f>
        <v>0</v>
      </c>
      <c r="I8" s="246">
        <f t="shared" si="0"/>
        <v>0</v>
      </c>
      <c r="J8" s="246">
        <f t="shared" si="0"/>
        <v>0</v>
      </c>
      <c r="K8" s="246">
        <f t="shared" si="0"/>
        <v>0</v>
      </c>
      <c r="L8" s="246">
        <f t="shared" si="0"/>
        <v>0</v>
      </c>
      <c r="M8" s="246">
        <f t="shared" si="0"/>
        <v>0</v>
      </c>
      <c r="N8" s="246">
        <f t="shared" si="0"/>
        <v>0</v>
      </c>
      <c r="O8" s="246">
        <f t="shared" si="0"/>
        <v>0</v>
      </c>
      <c r="P8" s="261"/>
    </row>
    <row r="9" spans="2:16" ht="18">
      <c r="B9" s="245" t="s">
        <v>570</v>
      </c>
      <c r="C9" s="247" t="s">
        <v>1298</v>
      </c>
      <c r="D9" s="246">
        <f t="shared" ref="D9:E28" si="1">+F9+H9+J9+L9+N9</f>
        <v>0</v>
      </c>
      <c r="E9" s="246">
        <f>+G9+I9+K9+M9+O9</f>
        <v>0</v>
      </c>
      <c r="F9" s="9"/>
      <c r="G9" s="9">
        <v>0</v>
      </c>
      <c r="H9" s="9"/>
      <c r="I9" s="9"/>
      <c r="J9" s="9"/>
      <c r="K9" s="9"/>
      <c r="L9" s="9"/>
      <c r="M9" s="9"/>
      <c r="N9" s="9"/>
      <c r="O9" s="9"/>
      <c r="P9" s="261"/>
    </row>
    <row r="10" spans="2:16" ht="18">
      <c r="B10" s="245" t="s">
        <v>571</v>
      </c>
      <c r="C10" s="247" t="s">
        <v>1466</v>
      </c>
      <c r="D10" s="246">
        <f t="shared" si="1"/>
        <v>0</v>
      </c>
      <c r="E10" s="246">
        <f>+G10+I10+K10+M10+O10</f>
        <v>0</v>
      </c>
      <c r="F10" s="9"/>
      <c r="G10" s="9">
        <v>0</v>
      </c>
      <c r="H10" s="9"/>
      <c r="I10" s="9"/>
      <c r="J10" s="9"/>
      <c r="K10" s="9"/>
      <c r="L10" s="9"/>
      <c r="M10" s="9"/>
      <c r="N10" s="9"/>
      <c r="O10" s="9"/>
      <c r="P10" s="262"/>
    </row>
    <row r="11" spans="2:16" ht="18">
      <c r="B11" s="196" t="s">
        <v>1686</v>
      </c>
      <c r="C11" s="8" t="s">
        <v>1468</v>
      </c>
      <c r="D11" s="246">
        <f>+F11+H11+J11+L11+N11</f>
        <v>0</v>
      </c>
      <c r="E11" s="246">
        <f>+G11+I11+K11+M11+O11</f>
        <v>0</v>
      </c>
      <c r="F11" s="9"/>
      <c r="G11" s="9">
        <v>0</v>
      </c>
      <c r="H11" s="9"/>
      <c r="I11" s="9"/>
      <c r="J11" s="9"/>
      <c r="K11" s="9"/>
      <c r="L11" s="9"/>
      <c r="M11" s="9"/>
      <c r="N11" s="9"/>
      <c r="O11" s="9"/>
      <c r="P11" s="263"/>
    </row>
    <row r="12" spans="2:16" ht="18">
      <c r="B12" s="245" t="s">
        <v>572</v>
      </c>
      <c r="C12" s="8" t="s">
        <v>1469</v>
      </c>
      <c r="D12" s="246">
        <f t="shared" si="1"/>
        <v>0</v>
      </c>
      <c r="E12" s="246">
        <f t="shared" si="1"/>
        <v>0</v>
      </c>
      <c r="F12" s="9"/>
      <c r="G12" s="9">
        <v>0</v>
      </c>
      <c r="H12" s="9"/>
      <c r="I12" s="9"/>
      <c r="J12" s="9"/>
      <c r="K12" s="9"/>
      <c r="L12" s="9"/>
      <c r="M12" s="9"/>
      <c r="N12" s="9"/>
      <c r="O12" s="9"/>
      <c r="P12" s="263"/>
    </row>
    <row r="13" spans="2:16" ht="18">
      <c r="B13" s="245" t="s">
        <v>573</v>
      </c>
      <c r="C13" s="247" t="s">
        <v>1470</v>
      </c>
      <c r="D13" s="246">
        <f t="shared" si="1"/>
        <v>0</v>
      </c>
      <c r="E13" s="246">
        <f t="shared" si="1"/>
        <v>0</v>
      </c>
      <c r="F13" s="9"/>
      <c r="G13" s="9">
        <v>0</v>
      </c>
      <c r="H13" s="9"/>
      <c r="I13" s="9"/>
      <c r="J13" s="9"/>
      <c r="K13" s="9"/>
      <c r="L13" s="9"/>
      <c r="M13" s="9"/>
      <c r="N13" s="9"/>
      <c r="O13" s="9"/>
      <c r="P13" s="263"/>
    </row>
    <row r="14" spans="2:16" ht="18">
      <c r="B14" s="245" t="s">
        <v>574</v>
      </c>
      <c r="C14" s="247" t="s">
        <v>1768</v>
      </c>
      <c r="D14" s="246">
        <f t="shared" si="1"/>
        <v>0</v>
      </c>
      <c r="E14" s="246">
        <f t="shared" si="1"/>
        <v>0</v>
      </c>
      <c r="F14" s="9"/>
      <c r="G14" s="9">
        <v>0</v>
      </c>
      <c r="H14" s="80"/>
      <c r="I14" s="9"/>
      <c r="J14" s="9"/>
      <c r="K14" s="9"/>
      <c r="L14" s="9"/>
      <c r="M14" s="9"/>
      <c r="N14" s="9"/>
      <c r="O14" s="9"/>
      <c r="P14" s="263"/>
    </row>
    <row r="15" spans="2:16" ht="18">
      <c r="B15" s="245" t="s">
        <v>576</v>
      </c>
      <c r="C15" s="199" t="s">
        <v>1540</v>
      </c>
      <c r="D15" s="246">
        <f t="shared" si="1"/>
        <v>0</v>
      </c>
      <c r="E15" s="246">
        <f t="shared" si="1"/>
        <v>0</v>
      </c>
      <c r="F15" s="487">
        <v>0</v>
      </c>
      <c r="G15" s="487">
        <v>0</v>
      </c>
      <c r="H15" s="487"/>
      <c r="I15" s="487"/>
      <c r="J15" s="9"/>
      <c r="K15" s="9"/>
      <c r="L15" s="9"/>
      <c r="M15" s="9"/>
      <c r="N15" s="9"/>
      <c r="O15" s="9"/>
      <c r="P15" s="263"/>
    </row>
    <row r="16" spans="2:16" ht="18">
      <c r="B16" s="196" t="s">
        <v>1687</v>
      </c>
      <c r="C16" s="11" t="s">
        <v>1475</v>
      </c>
      <c r="D16" s="246">
        <f>+F16+H16+J16+L16+N16</f>
        <v>0</v>
      </c>
      <c r="E16" s="246">
        <f>+G16+I16+K16+M16+O16</f>
        <v>0</v>
      </c>
      <c r="F16" s="246">
        <f>SUM(F17:F22)</f>
        <v>0</v>
      </c>
      <c r="G16" s="246">
        <f t="shared" ref="G16:O16" si="2">SUM(G17:G22)</f>
        <v>0</v>
      </c>
      <c r="H16" s="246">
        <f t="shared" si="2"/>
        <v>0</v>
      </c>
      <c r="I16" s="246">
        <f t="shared" si="2"/>
        <v>0</v>
      </c>
      <c r="J16" s="246">
        <f t="shared" si="2"/>
        <v>0</v>
      </c>
      <c r="K16" s="246">
        <f t="shared" si="2"/>
        <v>0</v>
      </c>
      <c r="L16" s="246">
        <f t="shared" si="2"/>
        <v>0</v>
      </c>
      <c r="M16" s="246">
        <f t="shared" si="2"/>
        <v>0</v>
      </c>
      <c r="N16" s="246">
        <f t="shared" si="2"/>
        <v>0</v>
      </c>
      <c r="O16" s="246">
        <f t="shared" si="2"/>
        <v>0</v>
      </c>
      <c r="P16" s="263"/>
    </row>
    <row r="17" spans="2:16" ht="18">
      <c r="B17" s="196" t="s">
        <v>1688</v>
      </c>
      <c r="C17" s="8" t="s">
        <v>1298</v>
      </c>
      <c r="D17" s="246">
        <f>+F17+H17+J17+L17+N17</f>
        <v>0</v>
      </c>
      <c r="E17" s="246">
        <f t="shared" si="1"/>
        <v>0</v>
      </c>
      <c r="F17" s="9"/>
      <c r="G17" s="9">
        <v>0</v>
      </c>
      <c r="H17" s="9"/>
      <c r="I17" s="9"/>
      <c r="J17" s="9"/>
      <c r="K17" s="9"/>
      <c r="L17" s="9"/>
      <c r="M17" s="9"/>
      <c r="N17" s="9"/>
      <c r="O17" s="9"/>
      <c r="P17" s="263"/>
    </row>
    <row r="18" spans="2:16" ht="18">
      <c r="B18" s="196" t="s">
        <v>1689</v>
      </c>
      <c r="C18" s="8" t="s">
        <v>1466</v>
      </c>
      <c r="D18" s="246">
        <f t="shared" si="1"/>
        <v>0</v>
      </c>
      <c r="E18" s="246">
        <f t="shared" si="1"/>
        <v>0</v>
      </c>
      <c r="F18" s="9"/>
      <c r="G18" s="9">
        <v>0</v>
      </c>
      <c r="H18" s="9"/>
      <c r="I18" s="9"/>
      <c r="J18" s="9"/>
      <c r="K18" s="9"/>
      <c r="L18" s="9"/>
      <c r="M18" s="9"/>
      <c r="N18" s="9"/>
      <c r="O18" s="9"/>
      <c r="P18" s="263"/>
    </row>
    <row r="19" spans="2:16" ht="18">
      <c r="B19" s="196" t="s">
        <v>1690</v>
      </c>
      <c r="C19" s="8" t="s">
        <v>1468</v>
      </c>
      <c r="D19" s="246">
        <f>+F19+H19+J19+L19+N19</f>
        <v>0</v>
      </c>
      <c r="E19" s="246">
        <f>+G19+I19+K19+M19+O19</f>
        <v>0</v>
      </c>
      <c r="F19" s="9"/>
      <c r="G19" s="9">
        <v>0</v>
      </c>
      <c r="H19" s="9"/>
      <c r="I19" s="9"/>
      <c r="J19" s="9"/>
      <c r="K19" s="9"/>
      <c r="L19" s="9"/>
      <c r="M19" s="9"/>
      <c r="N19" s="9"/>
      <c r="O19" s="9"/>
      <c r="P19" s="263"/>
    </row>
    <row r="20" spans="2:16" ht="18">
      <c r="B20" s="196" t="s">
        <v>1691</v>
      </c>
      <c r="C20" s="8" t="s">
        <v>1469</v>
      </c>
      <c r="D20" s="246">
        <f t="shared" si="1"/>
        <v>0</v>
      </c>
      <c r="E20" s="246">
        <f t="shared" si="1"/>
        <v>0</v>
      </c>
      <c r="F20" s="9"/>
      <c r="G20" s="9">
        <v>0</v>
      </c>
      <c r="H20" s="9"/>
      <c r="I20" s="9"/>
      <c r="J20" s="9"/>
      <c r="K20" s="9"/>
      <c r="L20" s="9"/>
      <c r="M20" s="9"/>
      <c r="N20" s="9"/>
      <c r="O20" s="9"/>
      <c r="P20" s="261"/>
    </row>
    <row r="21" spans="2:16" ht="18">
      <c r="B21" s="196" t="s">
        <v>1692</v>
      </c>
      <c r="C21" s="8" t="s">
        <v>1470</v>
      </c>
      <c r="D21" s="246">
        <f t="shared" si="1"/>
        <v>0</v>
      </c>
      <c r="E21" s="246">
        <f t="shared" si="1"/>
        <v>0</v>
      </c>
      <c r="F21" s="9"/>
      <c r="G21" s="9">
        <v>0</v>
      </c>
      <c r="H21" s="9"/>
      <c r="I21" s="9"/>
      <c r="J21" s="9"/>
      <c r="K21" s="9"/>
      <c r="L21" s="9"/>
      <c r="M21" s="9"/>
      <c r="N21" s="9"/>
      <c r="O21" s="9"/>
      <c r="P21" s="261"/>
    </row>
    <row r="22" spans="2:16" ht="18">
      <c r="B22" s="196" t="s">
        <v>1693</v>
      </c>
      <c r="C22" s="8" t="s">
        <v>1745</v>
      </c>
      <c r="D22" s="246">
        <f t="shared" si="1"/>
        <v>0</v>
      </c>
      <c r="E22" s="246">
        <f t="shared" si="1"/>
        <v>0</v>
      </c>
      <c r="F22" s="9"/>
      <c r="G22" s="9">
        <v>0</v>
      </c>
      <c r="H22" s="9"/>
      <c r="I22" s="9"/>
      <c r="J22" s="9"/>
      <c r="K22" s="9"/>
      <c r="L22" s="9"/>
      <c r="M22" s="9"/>
      <c r="N22" s="9"/>
      <c r="O22" s="9"/>
      <c r="P22" s="261"/>
    </row>
    <row r="23" spans="2:16" ht="36">
      <c r="B23" s="245" t="s">
        <v>575</v>
      </c>
      <c r="C23" s="199" t="s">
        <v>1098</v>
      </c>
      <c r="D23" s="246">
        <f t="shared" si="1"/>
        <v>0</v>
      </c>
      <c r="E23" s="246">
        <f t="shared" si="1"/>
        <v>0</v>
      </c>
      <c r="F23" s="9"/>
      <c r="G23" s="9">
        <v>0</v>
      </c>
      <c r="H23" s="9"/>
      <c r="I23" s="9"/>
      <c r="J23" s="9"/>
      <c r="K23" s="9"/>
      <c r="L23" s="9"/>
      <c r="M23" s="9"/>
      <c r="N23" s="9"/>
      <c r="O23" s="9"/>
      <c r="P23" s="261"/>
    </row>
    <row r="24" spans="2:16" ht="18">
      <c r="B24" s="245" t="s">
        <v>577</v>
      </c>
      <c r="C24" s="199" t="s">
        <v>1670</v>
      </c>
      <c r="D24" s="246">
        <f t="shared" si="1"/>
        <v>0</v>
      </c>
      <c r="E24" s="246">
        <f t="shared" si="1"/>
        <v>0</v>
      </c>
      <c r="F24" s="9"/>
      <c r="G24" s="9">
        <v>0</v>
      </c>
      <c r="H24" s="9"/>
      <c r="I24" s="9"/>
      <c r="J24" s="9"/>
      <c r="K24" s="9"/>
      <c r="L24" s="9"/>
      <c r="M24" s="9"/>
      <c r="N24" s="9"/>
      <c r="O24" s="9"/>
    </row>
    <row r="25" spans="2:16" ht="36">
      <c r="B25" s="245" t="s">
        <v>578</v>
      </c>
      <c r="C25" s="199" t="s">
        <v>1094</v>
      </c>
      <c r="D25" s="248">
        <f t="shared" si="1"/>
        <v>0</v>
      </c>
      <c r="E25" s="248">
        <f t="shared" si="1"/>
        <v>0</v>
      </c>
      <c r="F25" s="80"/>
      <c r="G25" s="9">
        <v>0</v>
      </c>
      <c r="H25" s="9"/>
      <c r="I25" s="9"/>
      <c r="J25" s="9"/>
      <c r="K25" s="9"/>
      <c r="L25" s="9"/>
      <c r="M25" s="9"/>
      <c r="N25" s="9"/>
      <c r="O25" s="9"/>
    </row>
    <row r="26" spans="2:16" ht="36">
      <c r="B26" s="245" t="s">
        <v>1694</v>
      </c>
      <c r="C26" s="199" t="s">
        <v>1672</v>
      </c>
      <c r="D26" s="248">
        <f>+F26+H26+J26+L26+N26</f>
        <v>0</v>
      </c>
      <c r="E26" s="248">
        <f>+G26+I26+K26+M26+O26</f>
        <v>0</v>
      </c>
      <c r="F26" s="80"/>
      <c r="G26" s="9">
        <v>0</v>
      </c>
      <c r="H26" s="9"/>
      <c r="I26" s="9"/>
      <c r="J26" s="9"/>
      <c r="K26" s="9"/>
      <c r="L26" s="9"/>
      <c r="M26" s="9"/>
      <c r="N26" s="9"/>
      <c r="O26" s="9"/>
    </row>
    <row r="27" spans="2:16" ht="18">
      <c r="B27" s="245" t="s">
        <v>579</v>
      </c>
      <c r="C27" s="199" t="s">
        <v>226</v>
      </c>
      <c r="D27" s="246">
        <f t="shared" si="1"/>
        <v>0</v>
      </c>
      <c r="E27" s="246">
        <f t="shared" si="1"/>
        <v>0</v>
      </c>
      <c r="F27" s="80"/>
      <c r="G27" s="9">
        <v>0</v>
      </c>
      <c r="H27" s="9"/>
      <c r="I27" s="9"/>
      <c r="J27" s="9"/>
      <c r="K27" s="9"/>
      <c r="L27" s="9"/>
      <c r="M27" s="9"/>
      <c r="N27" s="9"/>
      <c r="O27" s="9"/>
    </row>
    <row r="28" spans="2:16" ht="54">
      <c r="B28" s="245" t="s">
        <v>829</v>
      </c>
      <c r="C28" s="199" t="s">
        <v>1695</v>
      </c>
      <c r="D28" s="248">
        <f t="shared" si="1"/>
        <v>0</v>
      </c>
      <c r="E28" s="248">
        <f t="shared" si="1"/>
        <v>0</v>
      </c>
      <c r="F28" s="80"/>
      <c r="G28" s="9">
        <v>0</v>
      </c>
      <c r="H28" s="9"/>
      <c r="I28" s="9"/>
      <c r="J28" s="9"/>
      <c r="K28" s="9"/>
      <c r="L28" s="9"/>
      <c r="M28" s="9"/>
      <c r="N28" s="9"/>
      <c r="O28" s="9"/>
    </row>
  </sheetData>
  <sheetProtection password="E9D4" sheet="1" objects="1" scenarios="1"/>
  <customSheetViews>
    <customSheetView guid="{871F8275-217B-436F-8813-871F820F0EE4}" scale="85" showPageBreaks="1" showGridLines="0" view="pageBreakPreview">
      <selection activeCell="G21" sqref="G21"/>
      <pageMargins left="0.19685039370078741" right="0.19685039370078741" top="0.39370078740157483" bottom="0.39370078740157483" header="0.19685039370078741" footer="0.19685039370078741"/>
      <pageSetup paperSize="9" scale="58" orientation="landscape" r:id="rId1"/>
      <headerFooter alignWithMargins="0">
        <oddFooter>&amp;L&amp;7&amp;D&amp;C&amp;7&amp;P&amp;R&amp;7&amp;F</oddFooter>
      </headerFooter>
    </customSheetView>
    <customSheetView guid="{2EBF18CB-80C9-43ED-A978-2AAEAC40933E}" scale="75" showGridLines="0" showRuler="0" topLeftCell="A10">
      <selection activeCell="F26" sqref="F26"/>
      <pageMargins left="0.19685039370078741" right="0.19685039370078741" top="0.39370078740157483" bottom="0.39370078740157483" header="0.19685039370078741" footer="0.19685039370078741"/>
      <pageSetup paperSize="9" scale="58" orientation="landscape" horizontalDpi="300" verticalDpi="300" r:id="rId2"/>
      <headerFooter alignWithMargins="0">
        <oddFooter>&amp;L&amp;7&amp;D&amp;C&amp;7&amp;P&amp;R&amp;7&amp;F</oddFooter>
      </headerFooter>
    </customSheetView>
    <customSheetView guid="{47D3AB49-9599-4A16-951B-F48FEC1C0136}" scale="75" showGridLines="0" topLeftCell="A10">
      <selection activeCell="F26" sqref="F26:F28"/>
      <pageMargins left="0.19685039370078741" right="0.19685039370078741" top="0.39370078740157483" bottom="0.39370078740157483" header="0.19685039370078741" footer="0.19685039370078741"/>
      <pageSetup paperSize="9" scale="58" orientation="landscape" horizontalDpi="300" verticalDpi="300" r:id="rId3"/>
      <headerFooter alignWithMargins="0">
        <oddFooter>&amp;L&amp;7&amp;D&amp;C&amp;7&amp;P&amp;R&amp;7&amp;F</oddFooter>
      </headerFooter>
    </customSheetView>
    <customSheetView guid="{ECE607A2-8A26-46E0-8BDC-E9AD788F604C}" scale="85" showPageBreaks="1" showGridLines="0" view="pageBreakPreview">
      <selection activeCell="G21" sqref="G21"/>
      <pageMargins left="0.19685039370078741" right="0.19685039370078741" top="0.39370078740157483" bottom="0.39370078740157483" header="0.19685039370078741" footer="0.19685039370078741"/>
      <pageSetup paperSize="9" scale="58" orientation="landscape" r:id="rId4"/>
      <headerFooter alignWithMargins="0">
        <oddFooter>&amp;L&amp;7&amp;D&amp;C&amp;7&amp;P&amp;R&amp;7&amp;F</oddFooter>
      </headerFooter>
    </customSheetView>
    <customSheetView guid="{FB1E0752-409C-4E7D-BCFE-7AEBEB8B5F0D}" scale="85" showPageBreaks="1" showGridLines="0" view="pageBreakPreview">
      <selection activeCell="F8" sqref="F8"/>
      <pageMargins left="0.19685039370078741" right="0.19685039370078741" top="0.39370078740157483" bottom="0.39370078740157483" header="0.19685039370078741" footer="0.19685039370078741"/>
      <pageSetup paperSize="9" scale="58" orientation="landscape" r:id="rId5"/>
      <headerFooter alignWithMargins="0">
        <oddFooter>&amp;L&amp;7&amp;D&amp;C&amp;7&amp;P&amp;R&amp;7&amp;F</oddFooter>
      </headerFooter>
    </customSheetView>
  </customSheetViews>
  <mergeCells count="2">
    <mergeCell ref="C4:L4"/>
    <mergeCell ref="N1:O1"/>
  </mergeCells>
  <phoneticPr fontId="0" type="noConversion"/>
  <pageMargins left="0.19685039370078741" right="0.19685039370078741" top="0.39370078740157483" bottom="0.39370078740157483" header="0.19685039370078741" footer="0.19685039370078741"/>
  <pageSetup paperSize="9" scale="57" orientation="landscape" r:id="rId6"/>
  <headerFooter alignWithMargins="0">
    <oddFooter>&amp;L&amp;7&amp;D&amp;C&amp;7&amp;P&amp;R&amp;7&amp;F</oddFooter>
  </headerFooter>
</worksheet>
</file>

<file path=xl/worksheets/sheet17.xml><?xml version="1.0" encoding="utf-8"?>
<worksheet xmlns="http://schemas.openxmlformats.org/spreadsheetml/2006/main" xmlns:r="http://schemas.openxmlformats.org/officeDocument/2006/relationships">
  <sheetPr codeName="Лист17"/>
  <dimension ref="B1:P28"/>
  <sheetViews>
    <sheetView workbookViewId="0"/>
  </sheetViews>
  <sheetFormatPr defaultRowHeight="15"/>
  <cols>
    <col min="1" max="1" width="1.5703125" style="216" customWidth="1"/>
    <col min="2" max="2" width="10.140625" style="216" customWidth="1"/>
    <col min="3" max="3" width="40.85546875" style="216" customWidth="1"/>
    <col min="4" max="15" width="16.7109375" style="216" customWidth="1"/>
    <col min="16" max="16384" width="9.140625" style="216"/>
  </cols>
  <sheetData>
    <row r="1" spans="2:16" s="87" customFormat="1" ht="34.5" customHeight="1">
      <c r="B1" s="272"/>
      <c r="C1" s="273"/>
      <c r="D1" s="274"/>
      <c r="E1" s="274"/>
      <c r="F1" s="274"/>
      <c r="G1" s="274"/>
      <c r="H1" s="274"/>
      <c r="I1" s="274"/>
      <c r="J1" s="274"/>
      <c r="K1" s="274"/>
      <c r="L1" s="274"/>
      <c r="N1" s="1189" t="s">
        <v>1861</v>
      </c>
      <c r="O1" s="1168"/>
    </row>
    <row r="2" spans="2:16" s="87" customFormat="1" ht="18">
      <c r="B2" s="272"/>
      <c r="C2" s="39" t="str">
        <f>T!E18</f>
        <v>Номгӯи ташкилоти қарзӣ</v>
      </c>
      <c r="D2" s="275"/>
      <c r="E2" s="275"/>
      <c r="F2" s="276"/>
      <c r="G2" s="275"/>
      <c r="H2" s="275"/>
      <c r="I2" s="275"/>
      <c r="J2" s="275"/>
      <c r="K2" s="275"/>
      <c r="L2" s="275"/>
      <c r="M2" s="274"/>
      <c r="N2" s="274"/>
      <c r="O2" s="86"/>
    </row>
    <row r="3" spans="2:16" s="87" customFormat="1" ht="18">
      <c r="B3" s="272"/>
      <c r="C3" s="277" t="str">
        <f>T!B10</f>
        <v>Ҳисобот дар санаи</v>
      </c>
      <c r="D3" s="275"/>
      <c r="E3" s="275"/>
      <c r="F3" s="275"/>
      <c r="G3" s="275"/>
      <c r="H3" s="275"/>
      <c r="I3" s="275"/>
      <c r="J3" s="275"/>
      <c r="K3" s="275"/>
      <c r="L3" s="275"/>
      <c r="M3" s="274"/>
      <c r="N3" s="274"/>
      <c r="O3" s="274"/>
    </row>
    <row r="4" spans="2:16" s="87" customFormat="1" ht="18">
      <c r="B4" s="272"/>
      <c r="C4" s="1193" t="str">
        <f>'List of Scedules'!B16</f>
        <v>ҶАДВАЛИ 06.02. ТАСНИФИ ДОРОИҲО АЗ РӮИ ХАВФ БО АСЪОРИ ХОРИҶӢ</v>
      </c>
      <c r="D4" s="1193"/>
      <c r="E4" s="1193"/>
      <c r="F4" s="1193"/>
      <c r="G4" s="1193"/>
      <c r="H4" s="1193"/>
      <c r="I4" s="1193"/>
      <c r="J4" s="1193"/>
      <c r="K4" s="1193"/>
      <c r="L4" s="1193"/>
      <c r="M4" s="278"/>
      <c r="N4" s="278"/>
      <c r="O4" s="278"/>
    </row>
    <row r="5" spans="2:16">
      <c r="B5" s="279"/>
      <c r="C5" s="280"/>
      <c r="D5" s="280"/>
      <c r="E5" s="280"/>
      <c r="F5" s="280"/>
      <c r="G5" s="280"/>
      <c r="H5" s="280"/>
      <c r="I5" s="280"/>
      <c r="J5" s="280"/>
      <c r="K5" s="280"/>
      <c r="L5" s="280"/>
      <c r="M5" s="280"/>
      <c r="N5" s="280"/>
      <c r="O5" s="281"/>
    </row>
    <row r="6" spans="2:16" ht="54">
      <c r="B6" s="264"/>
      <c r="C6" s="240" t="s">
        <v>1659</v>
      </c>
      <c r="D6" s="240" t="s">
        <v>1268</v>
      </c>
      <c r="E6" s="999" t="s">
        <v>2210</v>
      </c>
      <c r="F6" s="999" t="s">
        <v>1683</v>
      </c>
      <c r="G6" s="1000" t="s">
        <v>2199</v>
      </c>
      <c r="H6" s="999" t="s">
        <v>2084</v>
      </c>
      <c r="I6" s="1000" t="s">
        <v>2199</v>
      </c>
      <c r="J6" s="999" t="s">
        <v>1684</v>
      </c>
      <c r="K6" s="1000" t="s">
        <v>2200</v>
      </c>
      <c r="L6" s="999" t="s">
        <v>1097</v>
      </c>
      <c r="M6" s="1000" t="s">
        <v>2200</v>
      </c>
      <c r="N6" s="999" t="s">
        <v>1750</v>
      </c>
      <c r="O6" s="1000" t="s">
        <v>2200</v>
      </c>
    </row>
    <row r="7" spans="2:16" ht="17.25">
      <c r="B7" s="265"/>
      <c r="C7" s="243">
        <v>1</v>
      </c>
      <c r="D7" s="266">
        <v>2</v>
      </c>
      <c r="E7" s="266">
        <v>3</v>
      </c>
      <c r="F7" s="266">
        <v>4</v>
      </c>
      <c r="G7" s="267">
        <v>5</v>
      </c>
      <c r="H7" s="266">
        <v>6</v>
      </c>
      <c r="I7" s="266">
        <v>7</v>
      </c>
      <c r="J7" s="266">
        <v>8</v>
      </c>
      <c r="K7" s="266">
        <v>9</v>
      </c>
      <c r="L7" s="266">
        <v>10</v>
      </c>
      <c r="M7" s="266">
        <v>11</v>
      </c>
      <c r="N7" s="266">
        <v>12</v>
      </c>
      <c r="O7" s="266">
        <v>13</v>
      </c>
    </row>
    <row r="8" spans="2:16" ht="18">
      <c r="B8" s="268" t="s">
        <v>580</v>
      </c>
      <c r="C8" s="197" t="s">
        <v>1465</v>
      </c>
      <c r="D8" s="269">
        <f>+F8+H8+J8+L8+N8</f>
        <v>0</v>
      </c>
      <c r="E8" s="269">
        <f>+G8+I8+K8+M8+O8</f>
        <v>0</v>
      </c>
      <c r="F8" s="269">
        <f>SUM(F9:F14)</f>
        <v>0</v>
      </c>
      <c r="G8" s="269">
        <f t="shared" ref="G8:O8" si="0">SUM(G9:G14)</f>
        <v>0</v>
      </c>
      <c r="H8" s="269">
        <f t="shared" si="0"/>
        <v>0</v>
      </c>
      <c r="I8" s="269">
        <f t="shared" si="0"/>
        <v>0</v>
      </c>
      <c r="J8" s="269">
        <f t="shared" si="0"/>
        <v>0</v>
      </c>
      <c r="K8" s="269">
        <f t="shared" si="0"/>
        <v>0</v>
      </c>
      <c r="L8" s="269">
        <f t="shared" si="0"/>
        <v>0</v>
      </c>
      <c r="M8" s="269">
        <f t="shared" si="0"/>
        <v>0</v>
      </c>
      <c r="N8" s="269">
        <f t="shared" si="0"/>
        <v>0</v>
      </c>
      <c r="O8" s="269">
        <f t="shared" si="0"/>
        <v>0</v>
      </c>
      <c r="P8" s="91"/>
    </row>
    <row r="9" spans="2:16" ht="18">
      <c r="B9" s="268" t="s">
        <v>581</v>
      </c>
      <c r="C9" s="247" t="s">
        <v>1298</v>
      </c>
      <c r="D9" s="269">
        <f t="shared" ref="D9:E28" si="1">+F9+H9+J9+L9+N9</f>
        <v>0</v>
      </c>
      <c r="E9" s="269">
        <f t="shared" si="1"/>
        <v>0</v>
      </c>
      <c r="F9" s="9"/>
      <c r="G9" s="60">
        <v>0</v>
      </c>
      <c r="H9" s="9"/>
      <c r="I9" s="9"/>
      <c r="J9" s="9"/>
      <c r="K9" s="9"/>
      <c r="L9" s="9"/>
      <c r="M9" s="9"/>
      <c r="N9" s="9"/>
      <c r="O9" s="9"/>
      <c r="P9" s="91"/>
    </row>
    <row r="10" spans="2:16" ht="18">
      <c r="B10" s="268" t="s">
        <v>582</v>
      </c>
      <c r="C10" s="247" t="s">
        <v>1466</v>
      </c>
      <c r="D10" s="269">
        <f t="shared" si="1"/>
        <v>0</v>
      </c>
      <c r="E10" s="269">
        <f t="shared" si="1"/>
        <v>0</v>
      </c>
      <c r="F10" s="9"/>
      <c r="G10" s="60">
        <v>0</v>
      </c>
      <c r="H10" s="9"/>
      <c r="I10" s="9"/>
      <c r="J10" s="9"/>
      <c r="K10" s="9"/>
      <c r="L10" s="9"/>
      <c r="M10" s="9"/>
      <c r="N10" s="9"/>
      <c r="O10" s="9"/>
      <c r="P10" s="91"/>
    </row>
    <row r="11" spans="2:16" ht="18">
      <c r="B11" s="196" t="s">
        <v>1696</v>
      </c>
      <c r="C11" s="8" t="s">
        <v>1468</v>
      </c>
      <c r="D11" s="269">
        <f>+F11+H11+J11+L11+N11</f>
        <v>0</v>
      </c>
      <c r="E11" s="269">
        <f>+G11+I11+K11+M11+O11</f>
        <v>0</v>
      </c>
      <c r="F11" s="9"/>
      <c r="G11" s="60">
        <v>0</v>
      </c>
      <c r="H11" s="9"/>
      <c r="I11" s="9"/>
      <c r="J11" s="9"/>
      <c r="K11" s="9"/>
      <c r="L11" s="9"/>
      <c r="M11" s="9"/>
      <c r="N11" s="9"/>
      <c r="O11" s="9"/>
      <c r="P11" s="91"/>
    </row>
    <row r="12" spans="2:16" ht="18">
      <c r="B12" s="268" t="s">
        <v>583</v>
      </c>
      <c r="C12" s="8" t="s">
        <v>1469</v>
      </c>
      <c r="D12" s="269">
        <f t="shared" si="1"/>
        <v>0</v>
      </c>
      <c r="E12" s="269">
        <f t="shared" si="1"/>
        <v>0</v>
      </c>
      <c r="F12" s="9"/>
      <c r="G12" s="60">
        <v>0</v>
      </c>
      <c r="H12" s="9"/>
      <c r="I12" s="9"/>
      <c r="J12" s="9"/>
      <c r="K12" s="9"/>
      <c r="L12" s="9"/>
      <c r="M12" s="9"/>
      <c r="N12" s="9"/>
      <c r="O12" s="9"/>
      <c r="P12" s="91"/>
    </row>
    <row r="13" spans="2:16" ht="18">
      <c r="B13" s="268" t="s">
        <v>584</v>
      </c>
      <c r="C13" s="247" t="s">
        <v>1470</v>
      </c>
      <c r="D13" s="269">
        <f t="shared" si="1"/>
        <v>0</v>
      </c>
      <c r="E13" s="269">
        <f t="shared" si="1"/>
        <v>0</v>
      </c>
      <c r="F13" s="9"/>
      <c r="G13" s="60">
        <v>0</v>
      </c>
      <c r="H13" s="9"/>
      <c r="I13" s="9"/>
      <c r="J13" s="9"/>
      <c r="K13" s="9"/>
      <c r="L13" s="9"/>
      <c r="M13" s="9"/>
      <c r="N13" s="9"/>
      <c r="O13" s="9"/>
      <c r="P13" s="91"/>
    </row>
    <row r="14" spans="2:16" ht="18">
      <c r="B14" s="268" t="s">
        <v>585</v>
      </c>
      <c r="C14" s="247" t="s">
        <v>1768</v>
      </c>
      <c r="D14" s="269">
        <f t="shared" si="1"/>
        <v>0</v>
      </c>
      <c r="E14" s="269">
        <f t="shared" si="1"/>
        <v>0</v>
      </c>
      <c r="F14" s="9"/>
      <c r="G14" s="60">
        <v>0</v>
      </c>
      <c r="H14" s="9"/>
      <c r="I14" s="9"/>
      <c r="J14" s="9"/>
      <c r="K14" s="9"/>
      <c r="L14" s="9"/>
      <c r="M14" s="9"/>
      <c r="N14" s="9"/>
      <c r="O14" s="9"/>
      <c r="P14" s="91"/>
    </row>
    <row r="15" spans="2:16" ht="18" customHeight="1">
      <c r="B15" s="268" t="s">
        <v>586</v>
      </c>
      <c r="C15" s="199" t="s">
        <v>1540</v>
      </c>
      <c r="D15" s="269">
        <f t="shared" si="1"/>
        <v>0</v>
      </c>
      <c r="E15" s="269">
        <f t="shared" si="1"/>
        <v>0</v>
      </c>
      <c r="F15" s="60">
        <v>0</v>
      </c>
      <c r="G15" s="60">
        <v>0</v>
      </c>
      <c r="H15" s="60"/>
      <c r="I15" s="60"/>
      <c r="J15" s="60"/>
      <c r="K15" s="60"/>
      <c r="L15" s="60"/>
      <c r="M15" s="60"/>
      <c r="N15" s="60"/>
      <c r="O15" s="60"/>
      <c r="P15" s="91"/>
    </row>
    <row r="16" spans="2:16" ht="18">
      <c r="B16" s="196" t="s">
        <v>1697</v>
      </c>
      <c r="C16" s="270" t="s">
        <v>1475</v>
      </c>
      <c r="D16" s="269">
        <f t="shared" si="1"/>
        <v>0</v>
      </c>
      <c r="E16" s="269">
        <f t="shared" si="1"/>
        <v>0</v>
      </c>
      <c r="F16" s="269">
        <f>SUM(F17:F22)</f>
        <v>0</v>
      </c>
      <c r="G16" s="269">
        <f t="shared" ref="G16:O16" si="2">SUM(G17:G22)</f>
        <v>0</v>
      </c>
      <c r="H16" s="269">
        <f t="shared" si="2"/>
        <v>0</v>
      </c>
      <c r="I16" s="269">
        <f t="shared" si="2"/>
        <v>0</v>
      </c>
      <c r="J16" s="269">
        <f t="shared" si="2"/>
        <v>0</v>
      </c>
      <c r="K16" s="269">
        <f t="shared" si="2"/>
        <v>0</v>
      </c>
      <c r="L16" s="269">
        <f t="shared" si="2"/>
        <v>0</v>
      </c>
      <c r="M16" s="269">
        <f t="shared" si="2"/>
        <v>0</v>
      </c>
      <c r="N16" s="269">
        <f t="shared" si="2"/>
        <v>0</v>
      </c>
      <c r="O16" s="269">
        <f t="shared" si="2"/>
        <v>0</v>
      </c>
      <c r="P16" s="91"/>
    </row>
    <row r="17" spans="2:16" ht="18">
      <c r="B17" s="196" t="s">
        <v>1698</v>
      </c>
      <c r="C17" s="8" t="s">
        <v>1298</v>
      </c>
      <c r="D17" s="269">
        <f t="shared" si="1"/>
        <v>0</v>
      </c>
      <c r="E17" s="269">
        <f t="shared" si="1"/>
        <v>0</v>
      </c>
      <c r="F17" s="9"/>
      <c r="G17" s="9"/>
      <c r="H17" s="9"/>
      <c r="I17" s="9"/>
      <c r="J17" s="9"/>
      <c r="K17" s="9"/>
      <c r="L17" s="9"/>
      <c r="M17" s="9"/>
      <c r="N17" s="9"/>
      <c r="O17" s="9"/>
      <c r="P17" s="91"/>
    </row>
    <row r="18" spans="2:16" ht="18">
      <c r="B18" s="196" t="s">
        <v>1699</v>
      </c>
      <c r="C18" s="8" t="s">
        <v>1466</v>
      </c>
      <c r="D18" s="269">
        <f t="shared" si="1"/>
        <v>0</v>
      </c>
      <c r="E18" s="269">
        <f t="shared" si="1"/>
        <v>0</v>
      </c>
      <c r="F18" s="9"/>
      <c r="G18" s="9"/>
      <c r="H18" s="9"/>
      <c r="I18" s="9"/>
      <c r="J18" s="9"/>
      <c r="K18" s="9"/>
      <c r="L18" s="9"/>
      <c r="M18" s="9"/>
      <c r="N18" s="9"/>
      <c r="O18" s="9"/>
      <c r="P18" s="91"/>
    </row>
    <row r="19" spans="2:16" ht="18">
      <c r="B19" s="196" t="s">
        <v>1700</v>
      </c>
      <c r="C19" s="8" t="s">
        <v>1468</v>
      </c>
      <c r="D19" s="269">
        <f>+F19+H19+J19+L19+N19</f>
        <v>0</v>
      </c>
      <c r="E19" s="269">
        <f>+G19+I19+K19+M19+O19</f>
        <v>0</v>
      </c>
      <c r="F19" s="9"/>
      <c r="G19" s="9"/>
      <c r="H19" s="9"/>
      <c r="I19" s="9"/>
      <c r="J19" s="9"/>
      <c r="K19" s="9"/>
      <c r="L19" s="9"/>
      <c r="M19" s="9"/>
      <c r="N19" s="9"/>
      <c r="O19" s="9"/>
      <c r="P19" s="91"/>
    </row>
    <row r="20" spans="2:16" ht="18">
      <c r="B20" s="196" t="s">
        <v>1701</v>
      </c>
      <c r="C20" s="8" t="s">
        <v>1469</v>
      </c>
      <c r="D20" s="269">
        <f t="shared" si="1"/>
        <v>0</v>
      </c>
      <c r="E20" s="269">
        <f t="shared" si="1"/>
        <v>0</v>
      </c>
      <c r="F20" s="9"/>
      <c r="G20" s="9"/>
      <c r="H20" s="9"/>
      <c r="I20" s="9"/>
      <c r="J20" s="9"/>
      <c r="K20" s="9"/>
      <c r="L20" s="9"/>
      <c r="M20" s="9"/>
      <c r="N20" s="9"/>
      <c r="O20" s="9"/>
    </row>
    <row r="21" spans="2:16" ht="18">
      <c r="B21" s="196" t="s">
        <v>1702</v>
      </c>
      <c r="C21" s="8" t="s">
        <v>1470</v>
      </c>
      <c r="D21" s="269">
        <f t="shared" si="1"/>
        <v>0</v>
      </c>
      <c r="E21" s="269">
        <f t="shared" si="1"/>
        <v>0</v>
      </c>
      <c r="F21" s="9"/>
      <c r="G21" s="9"/>
      <c r="H21" s="9"/>
      <c r="I21" s="9"/>
      <c r="J21" s="9"/>
      <c r="K21" s="9"/>
      <c r="L21" s="9"/>
      <c r="M21" s="9"/>
      <c r="N21" s="9"/>
      <c r="O21" s="9"/>
    </row>
    <row r="22" spans="2:16" ht="18">
      <c r="B22" s="196" t="s">
        <v>1703</v>
      </c>
      <c r="C22" s="8" t="s">
        <v>1745</v>
      </c>
      <c r="D22" s="269">
        <f t="shared" si="1"/>
        <v>0</v>
      </c>
      <c r="E22" s="269">
        <f t="shared" si="1"/>
        <v>0</v>
      </c>
      <c r="F22" s="9"/>
      <c r="G22" s="9"/>
      <c r="H22" s="9"/>
      <c r="I22" s="9"/>
      <c r="J22" s="9"/>
      <c r="K22" s="9"/>
      <c r="L22" s="9"/>
      <c r="M22" s="9"/>
      <c r="N22" s="9"/>
      <c r="O22" s="9"/>
    </row>
    <row r="23" spans="2:16" ht="36">
      <c r="B23" s="268" t="s">
        <v>587</v>
      </c>
      <c r="C23" s="199" t="s">
        <v>1098</v>
      </c>
      <c r="D23" s="269">
        <f t="shared" si="1"/>
        <v>0</v>
      </c>
      <c r="E23" s="269">
        <f t="shared" si="1"/>
        <v>0</v>
      </c>
      <c r="F23" s="9"/>
      <c r="G23" s="9"/>
      <c r="H23" s="9"/>
      <c r="I23" s="9"/>
      <c r="J23" s="9"/>
      <c r="K23" s="9"/>
      <c r="L23" s="9"/>
      <c r="M23" s="9"/>
      <c r="N23" s="9"/>
      <c r="O23" s="9"/>
    </row>
    <row r="24" spans="2:16" ht="18">
      <c r="B24" s="268" t="s">
        <v>588</v>
      </c>
      <c r="C24" s="199" t="s">
        <v>1670</v>
      </c>
      <c r="D24" s="269">
        <f t="shared" si="1"/>
        <v>0</v>
      </c>
      <c r="E24" s="269">
        <f t="shared" si="1"/>
        <v>0</v>
      </c>
      <c r="F24" s="9"/>
      <c r="G24" s="9"/>
      <c r="H24" s="9"/>
      <c r="I24" s="9"/>
      <c r="J24" s="9"/>
      <c r="K24" s="9"/>
      <c r="L24" s="9"/>
      <c r="M24" s="9"/>
      <c r="N24" s="9"/>
      <c r="O24" s="9"/>
    </row>
    <row r="25" spans="2:16" ht="36">
      <c r="B25" s="268" t="s">
        <v>589</v>
      </c>
      <c r="C25" s="199" t="s">
        <v>1094</v>
      </c>
      <c r="D25" s="269">
        <f t="shared" si="1"/>
        <v>0</v>
      </c>
      <c r="E25" s="269">
        <f t="shared" si="1"/>
        <v>0</v>
      </c>
      <c r="F25" s="9"/>
      <c r="G25" s="9"/>
      <c r="H25" s="9"/>
      <c r="I25" s="9"/>
      <c r="J25" s="9"/>
      <c r="K25" s="9"/>
      <c r="L25" s="9"/>
      <c r="M25" s="9"/>
      <c r="N25" s="9"/>
      <c r="O25" s="9"/>
    </row>
    <row r="26" spans="2:16" ht="36">
      <c r="B26" s="268" t="s">
        <v>1704</v>
      </c>
      <c r="C26" s="199" t="s">
        <v>1672</v>
      </c>
      <c r="D26" s="269">
        <f>+F26+H26+J26+L26+N26</f>
        <v>0</v>
      </c>
      <c r="E26" s="269">
        <f>+G26+I26+K26+M26+O26</f>
        <v>0</v>
      </c>
      <c r="F26" s="9"/>
      <c r="G26" s="9"/>
      <c r="H26" s="9"/>
      <c r="I26" s="9"/>
      <c r="J26" s="9"/>
      <c r="K26" s="9"/>
      <c r="L26" s="9"/>
      <c r="M26" s="9"/>
      <c r="N26" s="9"/>
      <c r="O26" s="9"/>
    </row>
    <row r="27" spans="2:16" ht="18">
      <c r="B27" s="268" t="s">
        <v>590</v>
      </c>
      <c r="C27" s="199" t="s">
        <v>226</v>
      </c>
      <c r="D27" s="269">
        <f t="shared" si="1"/>
        <v>0</v>
      </c>
      <c r="E27" s="269">
        <f t="shared" si="1"/>
        <v>0</v>
      </c>
      <c r="F27" s="9"/>
      <c r="G27" s="9"/>
      <c r="H27" s="9"/>
      <c r="I27" s="9"/>
      <c r="J27" s="9"/>
      <c r="K27" s="9"/>
      <c r="L27" s="9"/>
      <c r="M27" s="9"/>
      <c r="N27" s="9"/>
      <c r="O27" s="9"/>
    </row>
    <row r="28" spans="2:16" ht="54">
      <c r="B28" s="268" t="s">
        <v>830</v>
      </c>
      <c r="C28" s="199" t="s">
        <v>1695</v>
      </c>
      <c r="D28" s="271">
        <f t="shared" si="1"/>
        <v>0</v>
      </c>
      <c r="E28" s="271">
        <f t="shared" si="1"/>
        <v>0</v>
      </c>
      <c r="F28" s="225"/>
      <c r="G28" s="9"/>
      <c r="H28" s="9"/>
      <c r="I28" s="9"/>
      <c r="J28" s="9"/>
      <c r="K28" s="9"/>
      <c r="L28" s="9"/>
      <c r="M28" s="9"/>
      <c r="N28" s="9"/>
      <c r="O28" s="9"/>
    </row>
  </sheetData>
  <sheetProtection password="E9D4" sheet="1" objects="1" scenarios="1"/>
  <customSheetViews>
    <customSheetView guid="{871F8275-217B-436F-8813-871F820F0EE4}" scale="85" showPageBreaks="1" showGridLines="0" view="pageBreakPreview" topLeftCell="B1">
      <selection activeCell="D8" sqref="D8"/>
      <pageMargins left="0.19685039370078741" right="0.19685039370078741" top="0.39370078740157483" bottom="0.39370078740157483" header="0.19685039370078741" footer="0.19685039370078741"/>
      <pageSetup paperSize="9" scale="58" orientation="landscape" r:id="rId1"/>
      <headerFooter alignWithMargins="0">
        <oddFooter>&amp;L&amp;7&amp;D&amp;C&amp;7&amp;P&amp;R&amp;7&amp;F</oddFooter>
      </headerFooter>
    </customSheetView>
    <customSheetView guid="{2EBF18CB-80C9-43ED-A978-2AAEAC40933E}" scale="75" showGridLines="0" showRuler="0">
      <selection activeCell="C12" sqref="C12"/>
      <pageMargins left="0.19685039370078741" right="0.19685039370078741" top="0.39370078740157483" bottom="0.39370078740157483" header="0.19685039370078741" footer="0.19685039370078741"/>
      <pageSetup paperSize="9" scale="58" orientation="landscape" horizontalDpi="300" verticalDpi="300" r:id="rId2"/>
      <headerFooter alignWithMargins="0">
        <oddFooter>&amp;L&amp;7&amp;D&amp;C&amp;7&amp;P&amp;R&amp;7&amp;F</oddFooter>
      </headerFooter>
    </customSheetView>
    <customSheetView guid="{47D3AB49-9599-4A16-951B-F48FEC1C0136}" scale="75" showGridLines="0" topLeftCell="A4">
      <selection activeCell="F22" sqref="F22"/>
      <pageMargins left="0.19685039370078741" right="0.19685039370078741" top="0.39370078740157483" bottom="0.39370078740157483" header="0.19685039370078741" footer="0.19685039370078741"/>
      <pageSetup paperSize="9" scale="58" orientation="landscape" horizontalDpi="300" verticalDpi="300" r:id="rId3"/>
      <headerFooter alignWithMargins="0">
        <oddFooter>&amp;L&amp;7&amp;D&amp;C&amp;7&amp;P&amp;R&amp;7&amp;F</oddFooter>
      </headerFooter>
    </customSheetView>
    <customSheetView guid="{ECE607A2-8A26-46E0-8BDC-E9AD788F604C}" scale="85" showPageBreaks="1" showGridLines="0" view="pageBreakPreview">
      <selection activeCell="F13" sqref="F13"/>
      <pageMargins left="0.19685039370078741" right="0.19685039370078741" top="0.39370078740157483" bottom="0.39370078740157483" header="0.19685039370078741" footer="0.19685039370078741"/>
      <pageSetup paperSize="9" scale="58" orientation="landscape" r:id="rId4"/>
      <headerFooter alignWithMargins="0">
        <oddFooter>&amp;L&amp;7&amp;D&amp;C&amp;7&amp;P&amp;R&amp;7&amp;F</oddFooter>
      </headerFooter>
    </customSheetView>
    <customSheetView guid="{FB1E0752-409C-4E7D-BCFE-7AEBEB8B5F0D}" scale="85" showPageBreaks="1" showGridLines="0" view="pageBreakPreview">
      <selection activeCell="E25" sqref="E25"/>
      <pageMargins left="0.19685039370078741" right="0.19685039370078741" top="0.39370078740157483" bottom="0.39370078740157483" header="0.19685039370078741" footer="0.19685039370078741"/>
      <pageSetup paperSize="9" scale="58" orientation="landscape" r:id="rId5"/>
      <headerFooter alignWithMargins="0">
        <oddFooter>&amp;L&amp;7&amp;D&amp;C&amp;7&amp;P&amp;R&amp;7&amp;F</oddFooter>
      </headerFooter>
    </customSheetView>
  </customSheetViews>
  <mergeCells count="2">
    <mergeCell ref="C4:L4"/>
    <mergeCell ref="N1:O1"/>
  </mergeCells>
  <phoneticPr fontId="0" type="noConversion"/>
  <pageMargins left="0.19685039370078741" right="0.19685039370078741" top="0.39370078740157483" bottom="0.39370078740157483" header="0.19685039370078741" footer="0.19685039370078741"/>
  <pageSetup paperSize="9" scale="57" orientation="landscape" r:id="rId6"/>
  <headerFooter alignWithMargins="0">
    <oddFooter>&amp;L&amp;7&amp;D&amp;C&amp;7&amp;P&amp;R&amp;7&amp;F</oddFooter>
  </headerFooter>
</worksheet>
</file>

<file path=xl/worksheets/sheet18.xml><?xml version="1.0" encoding="utf-8"?>
<worksheet xmlns="http://schemas.openxmlformats.org/spreadsheetml/2006/main" xmlns:r="http://schemas.openxmlformats.org/officeDocument/2006/relationships">
  <sheetPr codeName="Лист18"/>
  <dimension ref="B1:J28"/>
  <sheetViews>
    <sheetView workbookViewId="0"/>
  </sheetViews>
  <sheetFormatPr defaultRowHeight="15"/>
  <cols>
    <col min="1" max="1" width="2" style="216" customWidth="1"/>
    <col min="2" max="2" width="11.42578125" style="216" customWidth="1"/>
    <col min="3" max="3" width="46.5703125" style="216" customWidth="1"/>
    <col min="4" max="9" width="19.85546875" style="216" customWidth="1"/>
    <col min="10" max="16384" width="9.140625" style="216"/>
  </cols>
  <sheetData>
    <row r="1" spans="2:10" s="87" customFormat="1" ht="31.5" customHeight="1">
      <c r="B1" s="289"/>
      <c r="C1" s="290"/>
      <c r="D1" s="291"/>
      <c r="E1" s="291"/>
      <c r="F1" s="291"/>
      <c r="G1" s="291"/>
      <c r="H1" s="1167" t="s">
        <v>1862</v>
      </c>
      <c r="I1" s="1168"/>
      <c r="J1" s="292"/>
    </row>
    <row r="2" spans="2:10" s="87" customFormat="1" ht="18">
      <c r="B2" s="289"/>
      <c r="C2" s="39" t="str">
        <f>T!E18</f>
        <v>Номгӯи ташкилоти қарзӣ</v>
      </c>
      <c r="D2" s="291"/>
      <c r="E2" s="291"/>
      <c r="F2" s="291"/>
      <c r="G2" s="291"/>
      <c r="H2" s="290"/>
      <c r="I2" s="86"/>
      <c r="J2" s="292"/>
    </row>
    <row r="3" spans="2:10" s="87" customFormat="1" ht="18">
      <c r="B3" s="293"/>
      <c r="C3" s="290" t="str">
        <f>T!B10</f>
        <v>Ҳисобот дар санаи</v>
      </c>
      <c r="D3" s="291"/>
      <c r="E3" s="291"/>
      <c r="F3" s="291"/>
      <c r="G3" s="291"/>
      <c r="H3" s="291"/>
      <c r="I3" s="294"/>
      <c r="J3" s="295"/>
    </row>
    <row r="4" spans="2:10" s="87" customFormat="1" ht="18">
      <c r="B4" s="296"/>
      <c r="C4" s="1198" t="str">
        <f>'List of Scedules'!B17</f>
        <v>ҶАДВАЛИ 07.01. АЗ ҲИСОБ ХОРИҶ КАРДАН ВА БАРҚАРОРКУНИИ ДОРОИҲОИ МОЛИЯВӢ</v>
      </c>
      <c r="D4" s="1198"/>
      <c r="E4" s="1198"/>
      <c r="F4" s="1198"/>
      <c r="G4" s="1198"/>
      <c r="H4" s="1198"/>
      <c r="I4" s="297"/>
      <c r="J4" s="298"/>
    </row>
    <row r="5" spans="2:10">
      <c r="B5" s="299"/>
      <c r="C5" s="300"/>
      <c r="D5" s="300"/>
      <c r="E5" s="300"/>
      <c r="F5" s="300"/>
      <c r="G5" s="300"/>
      <c r="H5" s="300"/>
      <c r="I5" s="301"/>
      <c r="J5" s="302"/>
    </row>
    <row r="6" spans="2:10" ht="18">
      <c r="B6" s="1194"/>
      <c r="C6" s="1196" t="s">
        <v>1659</v>
      </c>
      <c r="D6" s="1196" t="s">
        <v>1705</v>
      </c>
      <c r="E6" s="1197"/>
      <c r="F6" s="1196" t="s">
        <v>1706</v>
      </c>
      <c r="G6" s="1197"/>
      <c r="H6" s="1196" t="s">
        <v>1707</v>
      </c>
      <c r="I6" s="1197"/>
      <c r="J6" s="302"/>
    </row>
    <row r="7" spans="2:10" ht="36">
      <c r="B7" s="1195"/>
      <c r="C7" s="1197"/>
      <c r="D7" s="282" t="s">
        <v>1268</v>
      </c>
      <c r="E7" s="282" t="s">
        <v>1269</v>
      </c>
      <c r="F7" s="282" t="s">
        <v>1268</v>
      </c>
      <c r="G7" s="282" t="s">
        <v>1269</v>
      </c>
      <c r="H7" s="282" t="s">
        <v>1268</v>
      </c>
      <c r="I7" s="282" t="s">
        <v>1269</v>
      </c>
      <c r="J7" s="303"/>
    </row>
    <row r="8" spans="2:10">
      <c r="B8" s="283"/>
      <c r="C8" s="284">
        <v>1</v>
      </c>
      <c r="D8" s="284">
        <v>2</v>
      </c>
      <c r="E8" s="284">
        <v>3</v>
      </c>
      <c r="F8" s="284">
        <v>4</v>
      </c>
      <c r="G8" s="284">
        <v>5</v>
      </c>
      <c r="H8" s="284">
        <v>6</v>
      </c>
      <c r="I8" s="284">
        <v>7</v>
      </c>
      <c r="J8" s="303"/>
    </row>
    <row r="9" spans="2:10" ht="18">
      <c r="B9" s="285" t="s">
        <v>465</v>
      </c>
      <c r="C9" s="197" t="s">
        <v>1465</v>
      </c>
      <c r="D9" s="286">
        <f>SUM(D10:D15)</f>
        <v>0</v>
      </c>
      <c r="E9" s="286">
        <f>SUM(E10:E15)</f>
        <v>0</v>
      </c>
      <c r="F9" s="286">
        <f>SUM(F10:F15)</f>
        <v>0</v>
      </c>
      <c r="G9" s="286">
        <f>SUM(G10:G15)</f>
        <v>0</v>
      </c>
      <c r="H9" s="286">
        <f>+D9-F9</f>
        <v>0</v>
      </c>
      <c r="I9" s="286">
        <f>+E9-G9</f>
        <v>0</v>
      </c>
      <c r="J9" s="303"/>
    </row>
    <row r="10" spans="2:10" ht="18">
      <c r="B10" s="285" t="s">
        <v>466</v>
      </c>
      <c r="C10" s="247" t="s">
        <v>1298</v>
      </c>
      <c r="D10" s="9"/>
      <c r="E10" s="287"/>
      <c r="F10" s="287"/>
      <c r="G10" s="287"/>
      <c r="H10" s="286">
        <f t="shared" ref="H10:I23" si="0">+D10-F10</f>
        <v>0</v>
      </c>
      <c r="I10" s="286">
        <f t="shared" si="0"/>
        <v>0</v>
      </c>
      <c r="J10" s="303"/>
    </row>
    <row r="11" spans="2:10" ht="18">
      <c r="B11" s="285" t="s">
        <v>467</v>
      </c>
      <c r="C11" s="247" t="s">
        <v>1466</v>
      </c>
      <c r="D11" s="9"/>
      <c r="E11" s="287"/>
      <c r="F11" s="9"/>
      <c r="G11" s="287"/>
      <c r="H11" s="286">
        <f t="shared" si="0"/>
        <v>0</v>
      </c>
      <c r="I11" s="286">
        <f t="shared" si="0"/>
        <v>0</v>
      </c>
      <c r="J11" s="303"/>
    </row>
    <row r="12" spans="2:10" ht="18">
      <c r="B12" s="285" t="s">
        <v>1708</v>
      </c>
      <c r="C12" s="8" t="s">
        <v>1468</v>
      </c>
      <c r="D12" s="9"/>
      <c r="E12" s="287"/>
      <c r="F12" s="9"/>
      <c r="G12" s="287"/>
      <c r="H12" s="286">
        <f>+D12-F12</f>
        <v>0</v>
      </c>
      <c r="I12" s="286">
        <f>+E12-G12</f>
        <v>0</v>
      </c>
      <c r="J12" s="303"/>
    </row>
    <row r="13" spans="2:10" ht="18">
      <c r="B13" s="285" t="s">
        <v>468</v>
      </c>
      <c r="C13" s="8" t="s">
        <v>1469</v>
      </c>
      <c r="D13" s="9"/>
      <c r="E13" s="287"/>
      <c r="F13" s="9"/>
      <c r="G13" s="287"/>
      <c r="H13" s="286">
        <f t="shared" si="0"/>
        <v>0</v>
      </c>
      <c r="I13" s="286">
        <f t="shared" si="0"/>
        <v>0</v>
      </c>
      <c r="J13" s="303"/>
    </row>
    <row r="14" spans="2:10" ht="18">
      <c r="B14" s="285" t="s">
        <v>469</v>
      </c>
      <c r="C14" s="247" t="s">
        <v>1470</v>
      </c>
      <c r="D14" s="9"/>
      <c r="E14" s="287"/>
      <c r="F14" s="9"/>
      <c r="G14" s="287"/>
      <c r="H14" s="286">
        <f t="shared" si="0"/>
        <v>0</v>
      </c>
      <c r="I14" s="286">
        <f t="shared" si="0"/>
        <v>0</v>
      </c>
      <c r="J14" s="303"/>
    </row>
    <row r="15" spans="2:10" ht="18">
      <c r="B15" s="285" t="s">
        <v>470</v>
      </c>
      <c r="C15" s="247" t="s">
        <v>1768</v>
      </c>
      <c r="D15" s="9"/>
      <c r="E15" s="287"/>
      <c r="F15" s="287"/>
      <c r="G15" s="287"/>
      <c r="H15" s="286">
        <f t="shared" si="0"/>
        <v>0</v>
      </c>
      <c r="I15" s="286">
        <f t="shared" si="0"/>
        <v>0</v>
      </c>
      <c r="J15" s="303"/>
    </row>
    <row r="16" spans="2:10" ht="18">
      <c r="B16" s="285" t="s">
        <v>471</v>
      </c>
      <c r="C16" s="199" t="s">
        <v>1540</v>
      </c>
      <c r="D16" s="9"/>
      <c r="E16" s="287"/>
      <c r="F16" s="287"/>
      <c r="G16" s="287"/>
      <c r="H16" s="286">
        <f t="shared" si="0"/>
        <v>0</v>
      </c>
      <c r="I16" s="286">
        <f t="shared" si="0"/>
        <v>0</v>
      </c>
      <c r="J16" s="303"/>
    </row>
    <row r="17" spans="2:10" ht="18">
      <c r="B17" s="288" t="s">
        <v>1709</v>
      </c>
      <c r="C17" s="199" t="s">
        <v>1542</v>
      </c>
      <c r="D17" s="287"/>
      <c r="E17" s="287"/>
      <c r="F17" s="287"/>
      <c r="G17" s="287"/>
      <c r="H17" s="286">
        <f t="shared" si="0"/>
        <v>0</v>
      </c>
      <c r="I17" s="286">
        <f t="shared" si="0"/>
        <v>0</v>
      </c>
      <c r="J17" s="303"/>
    </row>
    <row r="18" spans="2:10" ht="18">
      <c r="B18" s="285" t="s">
        <v>472</v>
      </c>
      <c r="C18" s="247" t="s">
        <v>1101</v>
      </c>
      <c r="D18" s="287"/>
      <c r="E18" s="287"/>
      <c r="F18" s="287"/>
      <c r="G18" s="287"/>
      <c r="H18" s="286">
        <f t="shared" si="0"/>
        <v>0</v>
      </c>
      <c r="I18" s="286">
        <f t="shared" si="0"/>
        <v>0</v>
      </c>
      <c r="J18" s="303"/>
    </row>
    <row r="19" spans="2:10" ht="18">
      <c r="B19" s="285" t="s">
        <v>473</v>
      </c>
      <c r="C19" s="199" t="s">
        <v>1670</v>
      </c>
      <c r="D19" s="287"/>
      <c r="E19" s="287"/>
      <c r="F19" s="287"/>
      <c r="G19" s="287"/>
      <c r="H19" s="286">
        <f t="shared" si="0"/>
        <v>0</v>
      </c>
      <c r="I19" s="286">
        <f t="shared" si="0"/>
        <v>0</v>
      </c>
      <c r="J19" s="303"/>
    </row>
    <row r="20" spans="2:10" ht="36">
      <c r="B20" s="285" t="s">
        <v>474</v>
      </c>
      <c r="C20" s="199" t="s">
        <v>1094</v>
      </c>
      <c r="D20" s="287"/>
      <c r="E20" s="287"/>
      <c r="F20" s="287"/>
      <c r="G20" s="287"/>
      <c r="H20" s="286">
        <f t="shared" si="0"/>
        <v>0</v>
      </c>
      <c r="I20" s="286">
        <f t="shared" si="0"/>
        <v>0</v>
      </c>
      <c r="J20" s="303"/>
    </row>
    <row r="21" spans="2:10" ht="36">
      <c r="B21" s="285" t="s">
        <v>1710</v>
      </c>
      <c r="C21" s="199" t="s">
        <v>1672</v>
      </c>
      <c r="D21" s="287"/>
      <c r="E21" s="287"/>
      <c r="F21" s="287"/>
      <c r="G21" s="287"/>
      <c r="H21" s="286">
        <f>+D21-F21</f>
        <v>0</v>
      </c>
      <c r="I21" s="286">
        <f>+E21-G21</f>
        <v>0</v>
      </c>
      <c r="J21" s="303"/>
    </row>
    <row r="22" spans="2:10" ht="18">
      <c r="B22" s="285" t="s">
        <v>475</v>
      </c>
      <c r="C22" s="199" t="s">
        <v>226</v>
      </c>
      <c r="D22" s="287"/>
      <c r="E22" s="287"/>
      <c r="F22" s="287"/>
      <c r="G22" s="287"/>
      <c r="H22" s="286">
        <f t="shared" si="0"/>
        <v>0</v>
      </c>
      <c r="I22" s="286">
        <f t="shared" si="0"/>
        <v>0</v>
      </c>
      <c r="J22" s="303"/>
    </row>
    <row r="23" spans="2:10" ht="54">
      <c r="B23" s="285" t="s">
        <v>831</v>
      </c>
      <c r="C23" s="199" t="s">
        <v>1711</v>
      </c>
      <c r="D23" s="287"/>
      <c r="E23" s="287"/>
      <c r="F23" s="287"/>
      <c r="G23" s="287"/>
      <c r="H23" s="286">
        <f t="shared" si="0"/>
        <v>0</v>
      </c>
      <c r="I23" s="286">
        <f t="shared" si="0"/>
        <v>0</v>
      </c>
      <c r="J23" s="303"/>
    </row>
    <row r="24" spans="2:10">
      <c r="B24" s="304"/>
      <c r="C24" s="305"/>
      <c r="D24" s="306"/>
      <c r="E24" s="306"/>
      <c r="F24" s="306"/>
      <c r="G24" s="306"/>
      <c r="H24" s="306"/>
      <c r="I24" s="306"/>
      <c r="J24" s="307"/>
    </row>
    <row r="25" spans="2:10">
      <c r="B25" s="304"/>
      <c r="C25" s="308"/>
      <c r="D25" s="306"/>
      <c r="E25" s="306"/>
      <c r="F25" s="306"/>
      <c r="G25" s="306"/>
      <c r="H25" s="306"/>
      <c r="I25" s="306"/>
      <c r="J25" s="307"/>
    </row>
    <row r="26" spans="2:10">
      <c r="B26" s="309"/>
      <c r="C26" s="309"/>
      <c r="D26" s="309"/>
      <c r="E26" s="309"/>
      <c r="F26" s="309"/>
      <c r="G26" s="309"/>
      <c r="H26" s="309"/>
      <c r="I26" s="309"/>
      <c r="J26" s="309"/>
    </row>
    <row r="27" spans="2:10">
      <c r="B27" s="309"/>
      <c r="C27" s="309"/>
      <c r="D27" s="309"/>
      <c r="E27" s="310"/>
      <c r="F27" s="310"/>
      <c r="G27" s="310"/>
      <c r="H27" s="310"/>
      <c r="I27" s="310"/>
      <c r="J27" s="309"/>
    </row>
    <row r="28" spans="2:10">
      <c r="B28" s="309"/>
      <c r="C28" s="309"/>
      <c r="D28" s="309"/>
      <c r="E28" s="311"/>
      <c r="F28" s="310"/>
      <c r="G28" s="310"/>
      <c r="H28" s="310"/>
      <c r="I28" s="310"/>
      <c r="J28" s="309"/>
    </row>
  </sheetData>
  <sheetProtection password="E9D4" sheet="1"/>
  <customSheetViews>
    <customSheetView guid="{871F8275-217B-436F-8813-871F820F0EE4}" scale="85" showPageBreaks="1" showGridLines="0" view="pageBreakPreview">
      <selection activeCell="B26" sqref="B26"/>
      <pageMargins left="0.31496062992125984" right="0.31496062992125984" top="0.39370078740157483" bottom="0.39370078740157483" header="0.19685039370078741" footer="0.19685039370078741"/>
      <pageSetup paperSize="9" scale="80" orientation="landscape" r:id="rId1"/>
      <headerFooter alignWithMargins="0">
        <oddFooter>&amp;L&amp;7&amp;D&amp;C&amp;7&amp;P&amp;R&amp;7&amp;F</oddFooter>
      </headerFooter>
    </customSheetView>
    <customSheetView guid="{2EBF18CB-80C9-43ED-A978-2AAEAC40933E}" scale="75" showGridLines="0" showRuler="0">
      <selection activeCell="C10" sqref="C10"/>
      <pageMargins left="0.31496062992125984" right="0.31496062992125984" top="0.39370078740157483" bottom="0.39370078740157483" header="0.19685039370078741" footer="0.19685039370078741"/>
      <pageSetup paperSize="9" scale="80" orientation="landscape" horizontalDpi="300" verticalDpi="300" r:id="rId2"/>
      <headerFooter alignWithMargins="0">
        <oddFooter>&amp;L&amp;7&amp;D&amp;C&amp;7&amp;P&amp;R&amp;7&amp;F</oddFooter>
      </headerFooter>
    </customSheetView>
    <customSheetView guid="{47D3AB49-9599-4A16-951B-F48FEC1C0136}" scale="75" showGridLines="0">
      <selection activeCell="E16" sqref="E16"/>
      <pageMargins left="0.31496062992125984" right="0.31496062992125984" top="0.39370078740157483" bottom="0.39370078740157483" header="0.19685039370078741" footer="0.19685039370078741"/>
      <pageSetup paperSize="9" scale="80" orientation="landscape" horizontalDpi="300" verticalDpi="300" r:id="rId3"/>
      <headerFooter alignWithMargins="0">
        <oddFooter>&amp;L&amp;7&amp;D&amp;C&amp;7&amp;P&amp;R&amp;7&amp;F</oddFooter>
      </headerFooter>
    </customSheetView>
    <customSheetView guid="{ECE607A2-8A26-46E0-8BDC-E9AD788F604C}" scale="85" showPageBreaks="1" showGridLines="0" view="pageBreakPreview">
      <selection activeCell="D12" sqref="D12"/>
      <pageMargins left="0.31496062992125984" right="0.31496062992125984" top="0.39370078740157483" bottom="0.39370078740157483" header="0.19685039370078741" footer="0.19685039370078741"/>
      <pageSetup paperSize="9" scale="80" orientation="landscape" r:id="rId4"/>
      <headerFooter alignWithMargins="0">
        <oddFooter>&amp;L&amp;7&amp;D&amp;C&amp;7&amp;P&amp;R&amp;7&amp;F</oddFooter>
      </headerFooter>
    </customSheetView>
    <customSheetView guid="{FB1E0752-409C-4E7D-BCFE-7AEBEB8B5F0D}" scale="85" showPageBreaks="1" showGridLines="0" view="pageBreakPreview">
      <selection activeCell="B26" sqref="B26"/>
      <pageMargins left="0.31496062992125984" right="0.31496062992125984" top="0.39370078740157483" bottom="0.39370078740157483" header="0.19685039370078741" footer="0.19685039370078741"/>
      <pageSetup paperSize="9" scale="80" orientation="landscape" r:id="rId5"/>
      <headerFooter alignWithMargins="0">
        <oddFooter>&amp;L&amp;7&amp;D&amp;C&amp;7&amp;P&amp;R&amp;7&amp;F</oddFooter>
      </headerFooter>
    </customSheetView>
  </customSheetViews>
  <mergeCells count="7">
    <mergeCell ref="H1:I1"/>
    <mergeCell ref="B6:B7"/>
    <mergeCell ref="H6:I6"/>
    <mergeCell ref="C4:H4"/>
    <mergeCell ref="C6:C7"/>
    <mergeCell ref="D6:E6"/>
    <mergeCell ref="F6:G6"/>
  </mergeCells>
  <phoneticPr fontId="0" type="noConversion"/>
  <pageMargins left="0.31496062992125984" right="0.31496062992125984" top="0.39370078740157483" bottom="0.39370078740157483" header="0.19685039370078741" footer="0.19685039370078741"/>
  <pageSetup paperSize="9" scale="80" orientation="landscape" r:id="rId6"/>
  <headerFooter alignWithMargins="0">
    <oddFooter>&amp;L&amp;7&amp;D&amp;C&amp;7&amp;P&amp;R&amp;7&amp;F</oddFooter>
  </headerFooter>
</worksheet>
</file>

<file path=xl/worksheets/sheet19.xml><?xml version="1.0" encoding="utf-8"?>
<worksheet xmlns="http://schemas.openxmlformats.org/spreadsheetml/2006/main" xmlns:r="http://schemas.openxmlformats.org/officeDocument/2006/relationships">
  <sheetPr codeName="Лист19"/>
  <dimension ref="A1:E18"/>
  <sheetViews>
    <sheetView workbookViewId="0"/>
  </sheetViews>
  <sheetFormatPr defaultRowHeight="18"/>
  <cols>
    <col min="1" max="1" width="2.7109375" style="91" customWidth="1"/>
    <col min="2" max="2" width="10.42578125" style="91" bestFit="1" customWidth="1"/>
    <col min="3" max="3" width="77.42578125" style="91" customWidth="1"/>
    <col min="4" max="5" width="30.7109375" style="91" customWidth="1"/>
    <col min="6" max="16384" width="9.140625" style="91"/>
  </cols>
  <sheetData>
    <row r="1" spans="1:5" s="87" customFormat="1" ht="35.25" customHeight="1">
      <c r="A1" s="323"/>
      <c r="B1" s="323"/>
      <c r="C1" s="324"/>
      <c r="D1" s="1189" t="s">
        <v>1863</v>
      </c>
      <c r="E1" s="1173"/>
    </row>
    <row r="2" spans="1:5" s="87" customFormat="1">
      <c r="A2" s="323"/>
      <c r="B2" s="323"/>
      <c r="C2" s="39" t="str">
        <f>T!E18</f>
        <v>Номгӯи ташкилоти қарзӣ</v>
      </c>
      <c r="D2" s="325"/>
      <c r="E2" s="325"/>
    </row>
    <row r="3" spans="1:5" s="87" customFormat="1">
      <c r="A3" s="323"/>
      <c r="B3" s="323"/>
      <c r="C3" s="39" t="str">
        <f>T!B10</f>
        <v>Ҳисобот дар санаи</v>
      </c>
      <c r="D3" s="325"/>
      <c r="E3" s="325"/>
    </row>
    <row r="4" spans="1:5" s="87" customFormat="1">
      <c r="A4" s="323"/>
      <c r="B4" s="323"/>
      <c r="C4" s="1199" t="str">
        <f>'List of Scedules'!B18</f>
        <v>ҶАДВАЛИ 07.02. ТАҒЙИРОТ ДАР ФОНДИ ПӮШОНИДАНИ ТАЛАФОТИ ИМКОНПАЗИР АЗ РӮИ ҚАРЗҲО</v>
      </c>
      <c r="D4" s="1199"/>
      <c r="E4" s="1199"/>
    </row>
    <row r="5" spans="1:5">
      <c r="A5" s="326"/>
      <c r="B5" s="327"/>
      <c r="C5" s="328"/>
      <c r="D5" s="329"/>
      <c r="E5" s="329"/>
    </row>
    <row r="6" spans="1:5" ht="36">
      <c r="A6" s="326"/>
      <c r="B6" s="312"/>
      <c r="C6" s="313" t="s">
        <v>1712</v>
      </c>
      <c r="D6" s="5" t="s">
        <v>1268</v>
      </c>
      <c r="E6" s="6" t="s">
        <v>1713</v>
      </c>
    </row>
    <row r="7" spans="1:5">
      <c r="A7" s="326"/>
      <c r="B7" s="312"/>
      <c r="C7" s="314">
        <v>1</v>
      </c>
      <c r="D7" s="315">
        <v>2</v>
      </c>
      <c r="E7" s="315">
        <v>3</v>
      </c>
    </row>
    <row r="8" spans="1:5" ht="36">
      <c r="A8" s="326"/>
      <c r="B8" s="316" t="s">
        <v>815</v>
      </c>
      <c r="C8" s="317" t="s">
        <v>2303</v>
      </c>
      <c r="D8" s="9">
        <v>114408978</v>
      </c>
      <c r="E8" s="9">
        <v>31459560</v>
      </c>
    </row>
    <row r="9" spans="1:5" ht="19.5">
      <c r="A9" s="326"/>
      <c r="B9" s="316" t="s">
        <v>817</v>
      </c>
      <c r="C9" s="319" t="s">
        <v>1714</v>
      </c>
      <c r="D9" s="9">
        <v>0</v>
      </c>
      <c r="E9" s="9">
        <v>0</v>
      </c>
    </row>
    <row r="10" spans="1:5">
      <c r="A10" s="326"/>
      <c r="B10" s="1200"/>
      <c r="C10" s="1201"/>
      <c r="D10" s="1201"/>
      <c r="E10" s="1201"/>
    </row>
    <row r="11" spans="1:5">
      <c r="A11" s="326"/>
      <c r="B11" s="316" t="s">
        <v>818</v>
      </c>
      <c r="C11" s="317" t="s">
        <v>1715</v>
      </c>
      <c r="D11" s="320">
        <f>+CR07.01!F9+CR07.01!F16+CR07.01!F17</f>
        <v>0</v>
      </c>
      <c r="E11" s="320">
        <f>+CR07.01!G9+CR07.01!G16+CR07.01!G17</f>
        <v>0</v>
      </c>
    </row>
    <row r="12" spans="1:5">
      <c r="A12" s="326"/>
      <c r="B12" s="316" t="s">
        <v>819</v>
      </c>
      <c r="C12" s="317" t="s">
        <v>1716</v>
      </c>
      <c r="D12" s="320">
        <f>CR07.01!D9+CR07.01!D16+CR07.01!D17</f>
        <v>0</v>
      </c>
      <c r="E12" s="320">
        <f>+CR07.01!E9+CR07.01!E16+CR07.01!E17</f>
        <v>0</v>
      </c>
    </row>
    <row r="13" spans="1:5">
      <c r="A13" s="326"/>
      <c r="B13" s="316" t="s">
        <v>820</v>
      </c>
      <c r="C13" s="321" t="s">
        <v>1717</v>
      </c>
      <c r="D13" s="9">
        <v>33459315</v>
      </c>
      <c r="E13" s="9">
        <v>27514745</v>
      </c>
    </row>
    <row r="14" spans="1:5">
      <c r="A14" s="326"/>
      <c r="B14" s="316" t="s">
        <v>821</v>
      </c>
      <c r="C14" s="322" t="s">
        <v>1718</v>
      </c>
      <c r="D14" s="9">
        <v>26410382</v>
      </c>
      <c r="E14" s="9">
        <v>19772264</v>
      </c>
    </row>
    <row r="15" spans="1:5">
      <c r="A15" s="326"/>
      <c r="B15" s="316" t="s">
        <v>822</v>
      </c>
      <c r="C15" s="317" t="s">
        <v>1719</v>
      </c>
      <c r="D15" s="320">
        <f>+D8-D12+D13-D14</f>
        <v>121457911</v>
      </c>
      <c r="E15" s="320">
        <f>+E8-E12+E13-E14</f>
        <v>39202041</v>
      </c>
    </row>
    <row r="16" spans="1:5" ht="19.5">
      <c r="A16" s="326"/>
      <c r="B16" s="316" t="s">
        <v>823</v>
      </c>
      <c r="C16" s="319" t="s">
        <v>1714</v>
      </c>
      <c r="D16" s="318">
        <v>0</v>
      </c>
      <c r="E16" s="318">
        <v>0</v>
      </c>
    </row>
    <row r="17" spans="1:5">
      <c r="A17" s="326"/>
      <c r="B17" s="1200"/>
      <c r="C17" s="1201"/>
      <c r="D17" s="1201"/>
      <c r="E17" s="1201"/>
    </row>
    <row r="18" spans="1:5">
      <c r="A18" s="326"/>
      <c r="B18" s="330"/>
      <c r="C18" s="331"/>
      <c r="D18" s="330"/>
      <c r="E18" s="330"/>
    </row>
  </sheetData>
  <sheetProtection password="E9D4" sheet="1" objects="1" scenarios="1"/>
  <customSheetViews>
    <customSheetView guid="{871F8275-217B-436F-8813-871F820F0EE4}" showPageBreaks="1" showGridLines="0" view="pageBreakPreview">
      <selection activeCell="E15" sqref="E15"/>
      <pageMargins left="0.39370078740157483" right="0.39370078740157483" top="0.39370078740157483" bottom="0.39370078740157483" header="0.19685039370078741" footer="0.19685039370078741"/>
      <pageSetup paperSize="9" scale="90" orientation="landscape" r:id="rId1"/>
      <headerFooter alignWithMargins="0">
        <oddFooter>&amp;L&amp;7&amp;D&amp;C&amp;7&amp;P&amp;R&amp;7&amp;F</oddFooter>
      </headerFooter>
    </customSheetView>
    <customSheetView guid="{2EBF18CB-80C9-43ED-A978-2AAEAC40933E}" scale="75" showGridLines="0" showRuler="0">
      <selection activeCell="B15" sqref="B15"/>
      <pageMargins left="0.39370078740157483" right="0.39370078740157483" top="0.39370078740157483" bottom="0.39370078740157483" header="0.19685039370078741" footer="0.19685039370078741"/>
      <pageSetup paperSize="9" scale="90" orientation="landscape" horizontalDpi="300" verticalDpi="300" r:id="rId2"/>
      <headerFooter alignWithMargins="0">
        <oddFooter>&amp;L&amp;7&amp;D&amp;C&amp;7&amp;P&amp;R&amp;7&amp;F</oddFooter>
      </headerFooter>
    </customSheetView>
    <customSheetView guid="{47D3AB49-9599-4A16-951B-F48FEC1C0136}" scale="75" showGridLines="0">
      <selection activeCell="D13" sqref="D13:E14"/>
      <pageMargins left="0.39370078740157483" right="0.39370078740157483" top="0.39370078740157483" bottom="0.39370078740157483" header="0.19685039370078741" footer="0.19685039370078741"/>
      <pageSetup paperSize="9" scale="90" orientation="landscape" horizontalDpi="300" verticalDpi="300" r:id="rId3"/>
      <headerFooter alignWithMargins="0">
        <oddFooter>&amp;L&amp;7&amp;D&amp;C&amp;7&amp;P&amp;R&amp;7&amp;F</oddFooter>
      </headerFooter>
    </customSheetView>
    <customSheetView guid="{ECE607A2-8A26-46E0-8BDC-E9AD788F604C}" showPageBreaks="1" showGridLines="0" view="pageBreakPreview">
      <selection activeCell="D14" sqref="D14"/>
      <pageMargins left="0.39370078740157483" right="0.39370078740157483" top="0.39370078740157483" bottom="0.39370078740157483" header="0.19685039370078741" footer="0.19685039370078741"/>
      <pageSetup paperSize="9" scale="90" orientation="landscape" r:id="rId4"/>
      <headerFooter alignWithMargins="0">
        <oddFooter>&amp;L&amp;7&amp;D&amp;C&amp;7&amp;P&amp;R&amp;7&amp;F</oddFooter>
      </headerFooter>
    </customSheetView>
    <customSheetView guid="{FB1E0752-409C-4E7D-BCFE-7AEBEB8B5F0D}" showPageBreaks="1" showGridLines="0" view="pageBreakPreview">
      <selection activeCell="E15" sqref="E15"/>
      <pageMargins left="0.39370078740157483" right="0.39370078740157483" top="0.39370078740157483" bottom="0.39370078740157483" header="0.19685039370078741" footer="0.19685039370078741"/>
      <pageSetup paperSize="9" scale="90" orientation="landscape" r:id="rId5"/>
      <headerFooter alignWithMargins="0">
        <oddFooter>&amp;L&amp;7&amp;D&amp;C&amp;7&amp;P&amp;R&amp;7&amp;F</oddFooter>
      </headerFooter>
    </customSheetView>
  </customSheetViews>
  <mergeCells count="4">
    <mergeCell ref="C4:E4"/>
    <mergeCell ref="B10:E10"/>
    <mergeCell ref="B17:E17"/>
    <mergeCell ref="D1:E1"/>
  </mergeCells>
  <phoneticPr fontId="0" type="noConversion"/>
  <pageMargins left="0.39370078740157483" right="0.39370078740157483" top="0.39370078740157483" bottom="0.39370078740157483" header="0.19685039370078741" footer="0.19685039370078741"/>
  <pageSetup paperSize="9" scale="90" orientation="landscape" r:id="rId6"/>
  <headerFooter alignWithMargins="0">
    <oddFooter>&amp;L&amp;7&amp;D&amp;C&amp;7&amp;P&amp;R&amp;7&amp;F</oddFooter>
  </headerFooter>
</worksheet>
</file>

<file path=xl/worksheets/sheet2.xml><?xml version="1.0" encoding="utf-8"?>
<worksheet xmlns="http://schemas.openxmlformats.org/spreadsheetml/2006/main" xmlns:r="http://schemas.openxmlformats.org/officeDocument/2006/relationships">
  <sheetPr codeName="Лист1">
    <pageSetUpPr autoPageBreaks="0" fitToPage="1"/>
  </sheetPr>
  <dimension ref="A1:J60"/>
  <sheetViews>
    <sheetView workbookViewId="0"/>
  </sheetViews>
  <sheetFormatPr defaultRowHeight="18"/>
  <cols>
    <col min="1" max="1" width="4.7109375" style="879" customWidth="1"/>
    <col min="2" max="2" width="22.7109375" style="879" customWidth="1"/>
    <col min="3" max="3" width="8.7109375" style="879" customWidth="1"/>
    <col min="4" max="4" width="19.42578125" style="879" customWidth="1"/>
    <col min="5" max="5" width="18.85546875" style="879" customWidth="1"/>
    <col min="6" max="6" width="7.7109375" style="879" customWidth="1"/>
    <col min="7" max="7" width="13.140625" style="879" customWidth="1"/>
    <col min="8" max="8" width="20" style="879" customWidth="1"/>
    <col min="9" max="9" width="8.28515625" style="879" customWidth="1"/>
    <col min="10" max="10" width="9.7109375" style="879" customWidth="1"/>
    <col min="11" max="16384" width="9.140625" style="879"/>
  </cols>
  <sheetData>
    <row r="1" spans="2:10" ht="30.75" customHeight="1">
      <c r="B1" s="915" t="s">
        <v>2613</v>
      </c>
      <c r="H1" s="1156" t="s">
        <v>1846</v>
      </c>
      <c r="I1" s="1157"/>
      <c r="J1" s="1157"/>
    </row>
    <row r="2" spans="2:10">
      <c r="B2" s="923" t="s">
        <v>1881</v>
      </c>
      <c r="C2" s="780"/>
      <c r="D2" s="781" t="s">
        <v>989</v>
      </c>
      <c r="E2" s="779" t="s">
        <v>947</v>
      </c>
      <c r="F2" s="780"/>
      <c r="G2" s="780"/>
      <c r="H2" s="880"/>
      <c r="I2" s="830"/>
      <c r="J2" s="830"/>
    </row>
    <row r="3" spans="2:10">
      <c r="B3" s="779"/>
      <c r="C3" s="780"/>
      <c r="D3" s="780"/>
      <c r="E3" s="779" t="s">
        <v>948</v>
      </c>
      <c r="F3" s="780"/>
      <c r="G3" s="780"/>
      <c r="H3" s="880"/>
      <c r="I3" s="780"/>
      <c r="J3" s="780"/>
    </row>
    <row r="4" spans="2:10">
      <c r="B4" s="780"/>
      <c r="C4" s="780"/>
      <c r="D4" s="780"/>
      <c r="E4" s="780"/>
      <c r="F4" s="780"/>
      <c r="G4" s="780"/>
      <c r="H4" s="782"/>
      <c r="I4" s="780"/>
      <c r="J4" s="780"/>
    </row>
    <row r="5" spans="2:10">
      <c r="D5" s="893" t="s">
        <v>2051</v>
      </c>
      <c r="E5" s="1159"/>
      <c r="F5" s="1159"/>
      <c r="G5" s="1159"/>
      <c r="H5" s="1159"/>
      <c r="I5" s="780"/>
      <c r="J5" s="780"/>
    </row>
    <row r="6" spans="2:10">
      <c r="B6" s="780"/>
      <c r="C6" s="781"/>
      <c r="D6" s="782"/>
      <c r="E6" s="782"/>
      <c r="F6" s="782"/>
      <c r="G6" s="782"/>
      <c r="H6" s="782"/>
      <c r="I6" s="782"/>
      <c r="J6" s="780"/>
    </row>
    <row r="7" spans="2:10">
      <c r="B7" s="1158"/>
      <c r="C7" s="1158"/>
      <c r="D7" s="784"/>
      <c r="E7" s="784"/>
      <c r="F7" s="784"/>
      <c r="G7" s="1132"/>
      <c r="H7" s="1132"/>
      <c r="I7" s="780"/>
      <c r="J7" s="780"/>
    </row>
    <row r="8" spans="2:10">
      <c r="B8" s="780" t="s">
        <v>949</v>
      </c>
      <c r="C8" s="780"/>
      <c r="D8" s="780"/>
      <c r="E8" s="780"/>
      <c r="G8" s="784" t="s">
        <v>950</v>
      </c>
      <c r="H8" s="784"/>
      <c r="I8" s="780"/>
      <c r="J8" s="780"/>
    </row>
    <row r="9" spans="2:10">
      <c r="B9" s="780"/>
      <c r="C9" s="780"/>
      <c r="D9" s="780"/>
      <c r="E9" s="780"/>
      <c r="F9" s="780"/>
      <c r="G9" s="780"/>
      <c r="H9" s="780"/>
      <c r="I9" s="780"/>
      <c r="J9" s="780"/>
    </row>
    <row r="10" spans="2:10">
      <c r="B10" s="1162" t="s">
        <v>2082</v>
      </c>
      <c r="C10" s="1162"/>
      <c r="D10" s="1162"/>
      <c r="E10" s="881"/>
      <c r="F10" s="780" t="s">
        <v>1029</v>
      </c>
      <c r="G10" s="780"/>
      <c r="H10" s="1158"/>
      <c r="I10" s="1158"/>
      <c r="J10" s="780"/>
    </row>
    <row r="11" spans="2:10">
      <c r="B11" s="780"/>
      <c r="C11" s="1163" t="s">
        <v>1028</v>
      </c>
      <c r="D11" s="1163"/>
      <c r="E11" s="780"/>
      <c r="F11" s="780"/>
      <c r="G11" s="780"/>
      <c r="H11" s="780" t="s">
        <v>951</v>
      </c>
      <c r="I11" s="780"/>
      <c r="J11" s="780"/>
    </row>
    <row r="12" spans="2:10">
      <c r="B12" s="780"/>
      <c r="C12" s="780"/>
      <c r="E12" s="780"/>
      <c r="F12" s="780"/>
      <c r="G12" s="780"/>
      <c r="H12" s="780"/>
      <c r="I12" s="780"/>
      <c r="J12" s="780"/>
    </row>
    <row r="13" spans="2:10">
      <c r="B13" s="779" t="s">
        <v>952</v>
      </c>
      <c r="C13" s="780"/>
      <c r="D13" s="780"/>
      <c r="E13" s="780"/>
      <c r="F13" s="780"/>
      <c r="G13" s="780"/>
      <c r="H13" s="780"/>
      <c r="I13" s="780"/>
      <c r="J13" s="780"/>
    </row>
    <row r="14" spans="2:10" ht="23.25" customHeight="1">
      <c r="B14" s="779" t="s">
        <v>953</v>
      </c>
      <c r="C14" s="780"/>
      <c r="D14" s="780"/>
      <c r="E14" s="780"/>
      <c r="F14" s="780" t="s">
        <v>954</v>
      </c>
      <c r="G14" s="784"/>
      <c r="H14" s="780"/>
      <c r="I14" s="780"/>
      <c r="J14" s="780"/>
    </row>
    <row r="15" spans="2:10" ht="25.5" customHeight="1">
      <c r="B15" s="780"/>
      <c r="C15" s="780"/>
      <c r="D15" s="780"/>
      <c r="E15" s="780"/>
      <c r="F15" s="1132"/>
      <c r="G15" s="1132"/>
      <c r="H15" s="780" t="s">
        <v>955</v>
      </c>
      <c r="I15" s="780"/>
      <c r="J15" s="780"/>
    </row>
    <row r="16" spans="2:10" ht="15" customHeight="1">
      <c r="B16" s="780"/>
      <c r="C16" s="780"/>
      <c r="D16" s="780"/>
      <c r="E16" s="780"/>
      <c r="F16" s="780"/>
      <c r="G16" s="780"/>
      <c r="H16" s="780"/>
      <c r="I16" s="780"/>
      <c r="J16" s="780"/>
    </row>
    <row r="17" spans="1:10" ht="15" customHeight="1">
      <c r="B17" s="780"/>
      <c r="C17" s="780"/>
      <c r="D17" s="780"/>
      <c r="E17" s="780"/>
      <c r="F17" s="780"/>
      <c r="G17" s="780"/>
      <c r="H17" s="780"/>
      <c r="I17" s="780"/>
      <c r="J17" s="780"/>
    </row>
    <row r="18" spans="1:10">
      <c r="B18" s="779" t="s">
        <v>956</v>
      </c>
      <c r="C18" s="780"/>
      <c r="D18" s="780"/>
      <c r="E18" s="1164" t="s">
        <v>2276</v>
      </c>
      <c r="F18" s="1164"/>
      <c r="G18" s="1164"/>
      <c r="H18" s="1164"/>
      <c r="I18" s="784"/>
      <c r="J18" s="784"/>
    </row>
    <row r="19" spans="1:10" ht="9.75" customHeight="1">
      <c r="B19" s="1165"/>
      <c r="C19" s="1165"/>
      <c r="D19" s="784"/>
      <c r="E19" s="793"/>
      <c r="F19" s="793"/>
      <c r="G19" s="793"/>
      <c r="H19" s="793"/>
      <c r="I19" s="793"/>
      <c r="J19" s="793"/>
    </row>
    <row r="20" spans="1:10" ht="11.25" customHeight="1">
      <c r="B20" s="1160"/>
      <c r="C20" s="1160"/>
      <c r="D20" s="1160"/>
      <c r="E20" s="1160"/>
      <c r="F20" s="1160"/>
      <c r="G20" s="1160"/>
      <c r="H20" s="784"/>
      <c r="I20" s="784"/>
      <c r="J20" s="784"/>
    </row>
    <row r="21" spans="1:10" ht="5.25" customHeight="1">
      <c r="B21" s="780"/>
      <c r="C21" s="780"/>
      <c r="D21" s="780"/>
      <c r="E21" s="780"/>
      <c r="F21" s="780"/>
      <c r="G21" s="780"/>
      <c r="H21" s="780"/>
      <c r="I21" s="780"/>
      <c r="J21" s="780"/>
    </row>
    <row r="22" spans="1:10">
      <c r="B22" s="780"/>
      <c r="C22" s="780"/>
      <c r="D22" s="780"/>
      <c r="E22" s="779" t="s">
        <v>957</v>
      </c>
      <c r="F22" s="779"/>
      <c r="G22" s="779"/>
      <c r="H22" s="779"/>
      <c r="I22" s="780"/>
      <c r="J22" s="780"/>
    </row>
    <row r="23" spans="1:10" ht="6.75" customHeight="1">
      <c r="B23" s="780"/>
      <c r="C23" s="780"/>
      <c r="D23" s="780"/>
      <c r="E23" s="779"/>
      <c r="F23" s="779"/>
      <c r="G23" s="779"/>
      <c r="H23" s="779"/>
      <c r="I23" s="780"/>
      <c r="J23" s="780"/>
    </row>
    <row r="24" spans="1:10" ht="62.25" customHeight="1">
      <c r="B24" s="1161" t="s">
        <v>958</v>
      </c>
      <c r="C24" s="1161"/>
      <c r="D24" s="1161"/>
      <c r="E24" s="1161"/>
      <c r="F24" s="1161"/>
      <c r="G24" s="1161"/>
      <c r="H24" s="1161"/>
      <c r="I24" s="1161"/>
      <c r="J24" s="1161"/>
    </row>
    <row r="25" spans="1:10">
      <c r="B25" s="780"/>
      <c r="C25" s="780"/>
      <c r="D25" s="780"/>
      <c r="E25" s="779"/>
      <c r="F25" s="779"/>
      <c r="G25" s="779"/>
      <c r="H25" s="779"/>
      <c r="I25" s="780"/>
      <c r="J25" s="780"/>
    </row>
    <row r="26" spans="1:10">
      <c r="A26" s="780"/>
      <c r="B26" s="894" t="s">
        <v>959</v>
      </c>
      <c r="C26" s="780"/>
      <c r="D26" s="780"/>
      <c r="E26" s="780"/>
      <c r="F26" s="780"/>
      <c r="G26" s="780"/>
      <c r="H26" s="1132"/>
      <c r="I26" s="1132"/>
      <c r="J26" s="1132"/>
    </row>
    <row r="27" spans="1:10">
      <c r="A27" s="780"/>
      <c r="B27" s="780"/>
      <c r="C27" s="780"/>
      <c r="D27" s="780"/>
      <c r="E27" s="780"/>
      <c r="F27" s="780"/>
      <c r="G27" s="780"/>
      <c r="H27" s="780" t="s">
        <v>655</v>
      </c>
      <c r="I27" s="780"/>
      <c r="J27" s="780"/>
    </row>
    <row r="28" spans="1:10" ht="14.25" customHeight="1">
      <c r="A28" s="780"/>
      <c r="B28" s="780"/>
      <c r="C28" s="780"/>
      <c r="D28" s="780"/>
      <c r="E28" s="780"/>
      <c r="F28" s="780"/>
      <c r="G28" s="780"/>
      <c r="H28" s="780"/>
      <c r="I28" s="780"/>
      <c r="J28" s="780"/>
    </row>
    <row r="29" spans="1:10" ht="18" customHeight="1">
      <c r="A29" s="780"/>
      <c r="B29" s="894" t="s">
        <v>960</v>
      </c>
      <c r="C29" s="780"/>
      <c r="D29" s="780"/>
      <c r="E29" s="780"/>
      <c r="F29" s="780"/>
      <c r="G29" s="780"/>
      <c r="H29" s="1132"/>
      <c r="I29" s="1132"/>
      <c r="J29" s="1132"/>
    </row>
    <row r="30" spans="1:10">
      <c r="A30" s="780"/>
      <c r="B30" s="894" t="s">
        <v>2052</v>
      </c>
      <c r="C30" s="780"/>
      <c r="D30" s="780"/>
      <c r="E30" s="780"/>
      <c r="F30" s="780"/>
      <c r="G30" s="780"/>
      <c r="H30" s="780" t="s">
        <v>655</v>
      </c>
      <c r="I30" s="780"/>
      <c r="J30" s="780"/>
    </row>
    <row r="31" spans="1:10">
      <c r="A31" s="780"/>
      <c r="B31" s="780"/>
      <c r="C31" s="780"/>
      <c r="D31" s="780"/>
      <c r="E31" s="780"/>
      <c r="F31" s="780"/>
      <c r="G31" s="780"/>
      <c r="H31" s="780"/>
      <c r="I31" s="780"/>
      <c r="J31" s="780"/>
    </row>
    <row r="32" spans="1:10">
      <c r="A32" s="780"/>
      <c r="B32" s="894" t="s">
        <v>990</v>
      </c>
      <c r="C32" s="780"/>
      <c r="D32" s="780"/>
      <c r="E32" s="780"/>
      <c r="F32" s="780"/>
      <c r="G32" s="780"/>
      <c r="H32" s="1132"/>
      <c r="I32" s="1132"/>
      <c r="J32" s="1132"/>
    </row>
    <row r="33" spans="1:10">
      <c r="A33" s="780"/>
      <c r="B33" s="780"/>
      <c r="C33" s="780"/>
      <c r="D33" s="780"/>
      <c r="E33" s="780"/>
      <c r="F33" s="780"/>
      <c r="G33" s="780"/>
      <c r="H33" s="780" t="s">
        <v>655</v>
      </c>
      <c r="I33" s="780"/>
      <c r="J33" s="780"/>
    </row>
    <row r="34" spans="1:10" ht="15.75" customHeight="1">
      <c r="A34" s="780"/>
      <c r="B34" s="780"/>
      <c r="C34" s="780"/>
      <c r="D34" s="780"/>
      <c r="E34" s="780"/>
      <c r="F34" s="780"/>
      <c r="G34" s="780"/>
      <c r="H34" s="780"/>
      <c r="I34" s="780"/>
      <c r="J34" s="780"/>
    </row>
    <row r="35" spans="1:10">
      <c r="A35" s="780"/>
      <c r="B35" s="894" t="s">
        <v>961</v>
      </c>
      <c r="C35" s="780"/>
      <c r="D35" s="780"/>
      <c r="E35" s="780"/>
      <c r="F35" s="780"/>
      <c r="G35" s="780"/>
      <c r="H35" s="1132"/>
      <c r="I35" s="1132"/>
      <c r="J35" s="1132"/>
    </row>
    <row r="36" spans="1:10" ht="15.75" customHeight="1">
      <c r="A36" s="780"/>
      <c r="B36" s="780"/>
      <c r="C36" s="780"/>
      <c r="D36" s="780"/>
      <c r="E36" s="780"/>
      <c r="F36" s="780"/>
      <c r="G36" s="780"/>
      <c r="H36" s="780" t="s">
        <v>655</v>
      </c>
      <c r="I36" s="780"/>
      <c r="J36" s="780"/>
    </row>
    <row r="37" spans="1:10" ht="18.75" customHeight="1">
      <c r="A37" s="780"/>
      <c r="B37" s="780"/>
      <c r="C37" s="780"/>
      <c r="D37" s="780"/>
      <c r="E37" s="780"/>
      <c r="F37" s="780"/>
      <c r="G37" s="780"/>
      <c r="H37" s="780"/>
      <c r="I37" s="780"/>
      <c r="J37" s="780"/>
    </row>
    <row r="38" spans="1:10">
      <c r="A38" s="780"/>
      <c r="B38" s="1155" t="s">
        <v>2219</v>
      </c>
      <c r="C38" s="1155"/>
      <c r="D38" s="1155"/>
      <c r="E38" s="1155"/>
      <c r="F38" s="780"/>
      <c r="G38" s="780"/>
      <c r="H38" s="1132"/>
      <c r="I38" s="1132"/>
      <c r="J38" s="1132"/>
    </row>
    <row r="39" spans="1:10">
      <c r="A39" s="780"/>
      <c r="B39" s="779" t="s">
        <v>962</v>
      </c>
      <c r="C39" s="780"/>
      <c r="D39" s="780"/>
      <c r="E39" s="780"/>
      <c r="F39" s="780"/>
      <c r="G39" s="780"/>
      <c r="H39" s="780" t="s">
        <v>655</v>
      </c>
      <c r="I39" s="780"/>
      <c r="J39" s="780"/>
    </row>
    <row r="40" spans="1:10">
      <c r="A40" s="780"/>
      <c r="B40" s="779"/>
      <c r="C40" s="780"/>
      <c r="D40" s="780"/>
      <c r="E40" s="780"/>
      <c r="F40" s="780"/>
      <c r="G40" s="780"/>
      <c r="H40" s="780"/>
      <c r="I40" s="780"/>
      <c r="J40" s="780"/>
    </row>
    <row r="41" spans="1:10">
      <c r="A41" s="780"/>
      <c r="B41" s="894" t="s">
        <v>2220</v>
      </c>
      <c r="C41" s="780"/>
      <c r="D41" s="780"/>
      <c r="E41" s="780" t="s">
        <v>683</v>
      </c>
      <c r="F41" s="780"/>
      <c r="G41" s="780"/>
      <c r="H41" s="1132"/>
      <c r="I41" s="1132"/>
      <c r="J41" s="1132"/>
    </row>
    <row r="42" spans="1:10" ht="21.75" customHeight="1">
      <c r="A42" s="780"/>
      <c r="B42" s="779" t="s">
        <v>962</v>
      </c>
      <c r="C42" s="780"/>
      <c r="D42" s="780"/>
      <c r="E42" s="780"/>
      <c r="F42" s="780"/>
      <c r="G42" s="780"/>
      <c r="H42" s="780" t="s">
        <v>655</v>
      </c>
      <c r="I42" s="780"/>
      <c r="J42" s="780"/>
    </row>
    <row r="43" spans="1:10" ht="24.75" customHeight="1">
      <c r="A43" s="780"/>
      <c r="B43" s="894" t="s">
        <v>2221</v>
      </c>
      <c r="C43" s="780"/>
      <c r="D43" s="780"/>
      <c r="E43" s="780" t="s">
        <v>683</v>
      </c>
      <c r="F43" s="780"/>
      <c r="G43" s="780"/>
      <c r="H43" s="1132"/>
      <c r="I43" s="1132"/>
      <c r="J43" s="1132"/>
    </row>
    <row r="44" spans="1:10" ht="21.75" customHeight="1">
      <c r="A44" s="780"/>
      <c r="B44" s="779" t="s">
        <v>962</v>
      </c>
      <c r="C44" s="780"/>
      <c r="D44" s="780"/>
      <c r="E44" s="780"/>
      <c r="F44" s="780"/>
      <c r="G44" s="780"/>
      <c r="H44" s="780" t="s">
        <v>655</v>
      </c>
      <c r="I44" s="780"/>
      <c r="J44" s="780"/>
    </row>
    <row r="45" spans="1:10" ht="27" customHeight="1">
      <c r="A45" s="780"/>
      <c r="B45" s="894" t="s">
        <v>2222</v>
      </c>
      <c r="C45" s="780"/>
      <c r="D45" s="780"/>
      <c r="E45" s="780" t="s">
        <v>683</v>
      </c>
      <c r="F45" s="780"/>
      <c r="G45" s="780"/>
      <c r="H45" s="1132"/>
      <c r="I45" s="1132"/>
      <c r="J45" s="1132"/>
    </row>
    <row r="46" spans="1:10" ht="18" customHeight="1">
      <c r="A46" s="780"/>
      <c r="B46" s="779" t="s">
        <v>962</v>
      </c>
      <c r="C46" s="780"/>
      <c r="D46" s="780"/>
      <c r="E46" s="780"/>
      <c r="F46" s="780"/>
      <c r="G46" s="780"/>
      <c r="H46" s="780" t="s">
        <v>655</v>
      </c>
      <c r="I46" s="780"/>
      <c r="J46" s="780"/>
    </row>
    <row r="47" spans="1:10">
      <c r="A47" s="780"/>
      <c r="B47" s="780"/>
      <c r="C47" s="780"/>
      <c r="D47" s="780"/>
      <c r="E47" s="780"/>
      <c r="F47" s="780"/>
      <c r="G47" s="780"/>
      <c r="H47" s="780"/>
      <c r="I47" s="780"/>
      <c r="J47" s="780"/>
    </row>
    <row r="48" spans="1:10">
      <c r="A48" s="780"/>
      <c r="B48" s="780"/>
      <c r="C48" s="780"/>
      <c r="D48" s="780"/>
      <c r="E48" s="780"/>
      <c r="F48" s="780"/>
      <c r="G48" s="780"/>
      <c r="H48" s="780"/>
      <c r="I48" s="780"/>
      <c r="J48" s="780"/>
    </row>
    <row r="49" spans="1:10" ht="15.75" customHeight="1">
      <c r="A49" s="780"/>
      <c r="B49" s="1151" t="s">
        <v>1030</v>
      </c>
      <c r="C49" s="1152"/>
      <c r="D49" s="1152"/>
      <c r="E49" s="787"/>
      <c r="F49" s="788"/>
      <c r="G49" s="789"/>
      <c r="H49" s="788"/>
      <c r="I49" s="785"/>
      <c r="J49" s="785"/>
    </row>
    <row r="50" spans="1:10">
      <c r="A50" s="780"/>
      <c r="B50" s="1153"/>
      <c r="C50" s="1153"/>
      <c r="D50" s="1153"/>
      <c r="E50" s="790" t="s">
        <v>991</v>
      </c>
      <c r="F50" s="790"/>
      <c r="G50" s="790" t="s">
        <v>656</v>
      </c>
      <c r="H50" s="790"/>
      <c r="I50" s="790" t="s">
        <v>657</v>
      </c>
      <c r="J50" s="790"/>
    </row>
    <row r="51" spans="1:10">
      <c r="A51" s="780" t="s">
        <v>598</v>
      </c>
      <c r="B51" s="785"/>
      <c r="C51" s="785"/>
      <c r="D51" s="785"/>
      <c r="E51" s="785"/>
      <c r="F51" s="785"/>
      <c r="G51" s="785"/>
      <c r="H51" s="785"/>
      <c r="I51" s="785"/>
      <c r="J51" s="785"/>
    </row>
    <row r="52" spans="1:10">
      <c r="A52" s="780"/>
      <c r="B52" s="780"/>
      <c r="C52" s="780"/>
      <c r="D52" s="780"/>
      <c r="E52" s="780"/>
      <c r="F52" s="780"/>
      <c r="G52" s="780"/>
      <c r="H52" s="780"/>
      <c r="I52" s="780"/>
      <c r="J52" s="780"/>
    </row>
    <row r="53" spans="1:10">
      <c r="A53" s="780"/>
      <c r="B53" s="780"/>
      <c r="C53" s="780"/>
      <c r="D53" s="780"/>
      <c r="E53" s="780"/>
      <c r="F53" s="780"/>
      <c r="G53" s="780"/>
      <c r="H53" s="780"/>
      <c r="I53" s="780"/>
      <c r="J53" s="780"/>
    </row>
    <row r="54" spans="1:10">
      <c r="A54" s="1142" t="s">
        <v>963</v>
      </c>
      <c r="B54" s="1143"/>
      <c r="C54" s="1143"/>
      <c r="D54" s="1143"/>
      <c r="E54" s="1143"/>
      <c r="F54" s="1143"/>
      <c r="G54" s="1143"/>
      <c r="H54" s="1143"/>
      <c r="I54" s="1143"/>
      <c r="J54" s="1143"/>
    </row>
    <row r="55" spans="1:10" ht="4.5" customHeight="1">
      <c r="A55" s="780"/>
      <c r="B55" s="780"/>
      <c r="C55" s="780"/>
      <c r="D55" s="780"/>
      <c r="E55" s="780"/>
      <c r="F55" s="780"/>
      <c r="G55" s="780"/>
      <c r="H55" s="780"/>
      <c r="I55" s="780"/>
      <c r="J55" s="780"/>
    </row>
    <row r="56" spans="1:10" ht="36.75" customHeight="1">
      <c r="A56" s="780"/>
      <c r="B56" s="1139" t="s">
        <v>91</v>
      </c>
      <c r="C56" s="1140"/>
      <c r="D56" s="1141"/>
      <c r="E56" s="791" t="s">
        <v>992</v>
      </c>
      <c r="F56" s="1139" t="s">
        <v>92</v>
      </c>
      <c r="G56" s="1140"/>
      <c r="H56" s="1141"/>
      <c r="I56" s="1154" t="s">
        <v>992</v>
      </c>
      <c r="J56" s="1141"/>
    </row>
    <row r="57" spans="1:10">
      <c r="A57" s="780"/>
      <c r="B57" s="1144"/>
      <c r="C57" s="1145"/>
      <c r="D57" s="1134"/>
      <c r="E57" s="1148"/>
      <c r="F57" s="1144"/>
      <c r="G57" s="1145"/>
      <c r="H57" s="1134"/>
      <c r="I57" s="1133"/>
      <c r="J57" s="1134"/>
    </row>
    <row r="58" spans="1:10">
      <c r="A58" s="780"/>
      <c r="B58" s="1135"/>
      <c r="C58" s="1146"/>
      <c r="D58" s="1136"/>
      <c r="E58" s="1149"/>
      <c r="F58" s="1135"/>
      <c r="G58" s="1146"/>
      <c r="H58" s="1136"/>
      <c r="I58" s="1135"/>
      <c r="J58" s="1136"/>
    </row>
    <row r="59" spans="1:10">
      <c r="A59" s="780"/>
      <c r="B59" s="1137"/>
      <c r="C59" s="1147"/>
      <c r="D59" s="1138"/>
      <c r="E59" s="1150"/>
      <c r="F59" s="1137"/>
      <c r="G59" s="1147"/>
      <c r="H59" s="1138"/>
      <c r="I59" s="1137"/>
      <c r="J59" s="1138"/>
    </row>
    <row r="60" spans="1:10">
      <c r="B60" s="780"/>
      <c r="C60" s="793"/>
      <c r="D60" s="793"/>
      <c r="E60" s="793"/>
      <c r="F60" s="793"/>
      <c r="G60" s="793"/>
      <c r="H60" s="793"/>
      <c r="I60" s="793"/>
      <c r="J60" s="793"/>
    </row>
  </sheetData>
  <sheetProtection password="E9D4" sheet="1" objects="1" scenarios="1"/>
  <customSheetViews>
    <customSheetView guid="{871F8275-217B-436F-8813-871F820F0EE4}" scale="75" fitToPage="1" topLeftCell="A16">
      <selection activeCell="H11" sqref="H11"/>
      <pageMargins left="0.39370078740157483" right="0.39370078740157483" top="0.39370078740157483" bottom="0.39370078740157483" header="0.19685039370078741" footer="0.19685039370078741"/>
      <pageSetup paperSize="9" scale="72" orientation="portrait" horizontalDpi="300" verticalDpi="300" r:id="rId1"/>
      <headerFooter alignWithMargins="0">
        <oddFooter>&amp;L&amp;7&amp;D&amp;C&amp;7&amp;P&amp;R&amp;7&amp;F</oddFooter>
      </headerFooter>
    </customSheetView>
    <customSheetView guid="{2EBF18CB-80C9-43ED-A978-2AAEAC40933E}" scale="75" showPageBreaks="1" fitToPage="1" printArea="1" showRuler="0">
      <selection activeCell="B16" sqref="B16"/>
      <pageMargins left="0.39370078740157483" right="0.39370078740157483" top="0.39370078740157483" bottom="0.39370078740157483" header="0.19685039370078741" footer="0.19685039370078741"/>
      <pageSetup paperSize="9" scale="72" orientation="portrait" horizontalDpi="300" verticalDpi="300" r:id="rId2"/>
      <headerFooter alignWithMargins="0">
        <oddFooter>&amp;L&amp;7&amp;D&amp;C&amp;7&amp;P&amp;R&amp;7&amp;F</oddFooter>
      </headerFooter>
    </customSheetView>
    <customSheetView guid="{47D3AB49-9599-4A16-951B-F48FEC1C0136}" scale="75" showPageBreaks="1" fitToPage="1" printArea="1" topLeftCell="A37">
      <selection activeCell="F11" sqref="F11"/>
      <pageMargins left="0.39370078740157483" right="0.39370078740157483" top="0.39370078740157483" bottom="0.39370078740157483" header="0.19685039370078741" footer="0.19685039370078741"/>
      <pageSetup paperSize="9" scale="73" orientation="portrait" horizontalDpi="300" verticalDpi="300" r:id="rId3"/>
      <headerFooter alignWithMargins="0">
        <oddFooter>&amp;L&amp;7&amp;D&amp;C&amp;7&amp;P&amp;R&amp;7&amp;F</oddFooter>
      </headerFooter>
    </customSheetView>
    <customSheetView guid="{ECE607A2-8A26-46E0-8BDC-E9AD788F604C}" scale="75" fitToPage="1" printArea="1">
      <selection activeCell="D2" sqref="D2"/>
      <pageMargins left="0.39370078740157483" right="0.39370078740157483" top="0.39370078740157483" bottom="0.39370078740157483" header="0.19685039370078741" footer="0.19685039370078741"/>
      <pageSetup paperSize="9" scale="72" orientation="portrait" horizontalDpi="300" verticalDpi="300" r:id="rId4"/>
      <headerFooter alignWithMargins="0">
        <oddFooter>&amp;L&amp;7&amp;D&amp;C&amp;7&amp;P&amp;R&amp;7&amp;F</oddFooter>
      </headerFooter>
    </customSheetView>
    <customSheetView guid="{FB1E0752-409C-4E7D-BCFE-7AEBEB8B5F0D}" showPageBreaks="1" fitToPage="1" view="pageBreakPreview" topLeftCell="A16">
      <selection activeCell="H11" sqref="H11"/>
      <pageMargins left="0.39370078740157483" right="0.39370078740157483" top="0.39370078740157483" bottom="0.39370078740157483" header="0.19685039370078741" footer="0.19685039370078741"/>
      <pageSetup paperSize="9" scale="72" orientation="portrait" r:id="rId5"/>
      <headerFooter alignWithMargins="0">
        <oddFooter>&amp;L&amp;7&amp;D&amp;C&amp;7&amp;P&amp;R&amp;7&amp;F</oddFooter>
      </headerFooter>
    </customSheetView>
  </customSheetViews>
  <mergeCells count="30">
    <mergeCell ref="G7:H7"/>
    <mergeCell ref="B38:E38"/>
    <mergeCell ref="F15:G15"/>
    <mergeCell ref="H1:J1"/>
    <mergeCell ref="H10:I10"/>
    <mergeCell ref="E5:H5"/>
    <mergeCell ref="B20:G20"/>
    <mergeCell ref="B24:J24"/>
    <mergeCell ref="B7:C7"/>
    <mergeCell ref="B10:D10"/>
    <mergeCell ref="C11:D11"/>
    <mergeCell ref="E18:H18"/>
    <mergeCell ref="B19:C19"/>
    <mergeCell ref="H26:J26"/>
    <mergeCell ref="H29:J29"/>
    <mergeCell ref="H38:J38"/>
    <mergeCell ref="H32:J32"/>
    <mergeCell ref="H35:J35"/>
    <mergeCell ref="I57:J59"/>
    <mergeCell ref="B56:D56"/>
    <mergeCell ref="H41:J41"/>
    <mergeCell ref="A54:J54"/>
    <mergeCell ref="H43:J43"/>
    <mergeCell ref="B57:D59"/>
    <mergeCell ref="E57:E59"/>
    <mergeCell ref="F57:H59"/>
    <mergeCell ref="H45:J45"/>
    <mergeCell ref="B49:D50"/>
    <mergeCell ref="F56:H56"/>
    <mergeCell ref="I56:J56"/>
  </mergeCells>
  <phoneticPr fontId="0" type="noConversion"/>
  <pageMargins left="0.39370078740157483" right="0.39370078740157483" top="0.39370078740157483" bottom="0.39370078740157483" header="0.19685039370078741" footer="0.19685039370078741"/>
  <pageSetup paperSize="9" scale="73" orientation="portrait" horizontalDpi="300" verticalDpi="300" r:id="rId6"/>
  <headerFooter alignWithMargins="0">
    <oddFooter>&amp;L&amp;7&amp;D&amp;C&amp;7&amp;P&amp;R&amp;7&amp;F</oddFooter>
  </headerFooter>
</worksheet>
</file>

<file path=xl/worksheets/sheet20.xml><?xml version="1.0" encoding="utf-8"?>
<worksheet xmlns="http://schemas.openxmlformats.org/spreadsheetml/2006/main" xmlns:r="http://schemas.openxmlformats.org/officeDocument/2006/relationships">
  <sheetPr codeName="Лист20">
    <tabColor rgb="FFFFFF00"/>
  </sheetPr>
  <dimension ref="B1:S362"/>
  <sheetViews>
    <sheetView workbookViewId="0"/>
  </sheetViews>
  <sheetFormatPr defaultRowHeight="15"/>
  <cols>
    <col min="1" max="1" width="2.28515625" style="216" customWidth="1"/>
    <col min="2" max="2" width="9.28515625" style="216" customWidth="1"/>
    <col min="3" max="3" width="26.85546875" style="216" customWidth="1"/>
    <col min="4" max="4" width="9.85546875" style="216" customWidth="1"/>
    <col min="5" max="5" width="16.5703125" style="216" bestFit="1" customWidth="1"/>
    <col min="6" max="6" width="12.28515625" style="216" customWidth="1"/>
    <col min="7" max="7" width="16.7109375" style="216" customWidth="1"/>
    <col min="8" max="8" width="16.28515625" style="216" customWidth="1"/>
    <col min="9" max="9" width="16.5703125" style="216" customWidth="1"/>
    <col min="10" max="10" width="17.28515625" style="216" bestFit="1" customWidth="1"/>
    <col min="11" max="11" width="12.85546875" style="216" bestFit="1" customWidth="1"/>
    <col min="12" max="12" width="15.28515625" style="216" customWidth="1"/>
    <col min="13" max="13" width="10.85546875" style="216" bestFit="1" customWidth="1"/>
    <col min="14" max="14" width="15.140625" style="216" customWidth="1"/>
    <col min="15" max="15" width="14.7109375" style="216" customWidth="1"/>
    <col min="16" max="16" width="10.85546875" style="216" bestFit="1" customWidth="1"/>
    <col min="17" max="17" width="14.140625" style="216" customWidth="1"/>
    <col min="18" max="18" width="9.140625" style="216"/>
    <col min="19" max="19" width="22.85546875" style="216" customWidth="1"/>
    <col min="20" max="16384" width="9.140625" style="216"/>
  </cols>
  <sheetData>
    <row r="1" spans="2:19" s="334" customFormat="1" ht="27" customHeight="1">
      <c r="B1" s="332"/>
      <c r="C1" s="332"/>
      <c r="D1" s="333"/>
      <c r="E1" s="333"/>
      <c r="F1" s="333"/>
      <c r="G1" s="333"/>
      <c r="H1" s="332"/>
      <c r="I1" s="333"/>
      <c r="M1" s="333"/>
      <c r="O1" s="1189" t="s">
        <v>1864</v>
      </c>
      <c r="P1" s="1173"/>
      <c r="Q1" s="1173"/>
      <c r="R1" s="87"/>
    </row>
    <row r="2" spans="2:19" s="334" customFormat="1" ht="18">
      <c r="B2" s="335"/>
      <c r="C2" s="39" t="str">
        <f>T!E18</f>
        <v>Номгӯи ташкилоти қарзӣ</v>
      </c>
      <c r="D2" s="333"/>
      <c r="E2" s="333"/>
      <c r="F2" s="333"/>
      <c r="G2" s="333"/>
      <c r="H2" s="333"/>
      <c r="I2" s="333"/>
      <c r="J2" s="333"/>
      <c r="K2" s="333"/>
      <c r="L2" s="333"/>
      <c r="M2" s="333"/>
      <c r="N2" s="333"/>
      <c r="O2" s="333"/>
      <c r="P2" s="333"/>
      <c r="Q2" s="87"/>
      <c r="R2" s="87"/>
    </row>
    <row r="3" spans="2:19" s="334" customFormat="1" ht="19.5">
      <c r="B3" s="333"/>
      <c r="C3" s="336" t="str">
        <f>T!B10</f>
        <v>Ҳисобот дар санаи</v>
      </c>
      <c r="D3" s="333"/>
      <c r="E3" s="333"/>
      <c r="F3" s="333"/>
      <c r="G3" s="333"/>
      <c r="H3" s="333"/>
      <c r="I3" s="333"/>
      <c r="J3" s="333"/>
      <c r="K3" s="333"/>
      <c r="L3" s="333"/>
      <c r="M3" s="337"/>
      <c r="N3" s="337"/>
      <c r="O3" s="337"/>
      <c r="P3" s="337"/>
      <c r="Q3" s="87"/>
      <c r="R3" s="87"/>
    </row>
    <row r="4" spans="2:19" s="334" customFormat="1" ht="18">
      <c r="B4" s="338"/>
      <c r="C4" s="339" t="str">
        <f>'List of Scedules'!B19</f>
        <v>ҶАДВАЛИ 08.01. ҚАРЗДОРОНИ КАЛОН</v>
      </c>
      <c r="D4" s="340"/>
      <c r="E4" s="341"/>
      <c r="F4" s="341"/>
      <c r="G4" s="341"/>
      <c r="H4" s="341"/>
      <c r="I4" s="341"/>
      <c r="J4" s="341"/>
      <c r="K4" s="341"/>
      <c r="L4" s="341"/>
      <c r="M4" s="341"/>
      <c r="N4" s="341"/>
      <c r="O4" s="341"/>
      <c r="P4" s="341"/>
      <c r="Q4" s="87"/>
      <c r="R4" s="87"/>
    </row>
    <row r="5" spans="2:19" ht="18">
      <c r="B5" s="342"/>
      <c r="C5" s="342"/>
      <c r="D5" s="342"/>
      <c r="E5" s="342"/>
      <c r="F5" s="342"/>
      <c r="G5" s="342"/>
      <c r="H5" s="342"/>
      <c r="I5" s="342"/>
      <c r="J5" s="342"/>
      <c r="K5" s="342"/>
      <c r="L5" s="342"/>
      <c r="M5" s="342"/>
      <c r="N5" s="342"/>
      <c r="O5" s="342"/>
      <c r="P5" s="342"/>
      <c r="Q5" s="91"/>
      <c r="R5" s="91"/>
    </row>
    <row r="6" spans="2:19" ht="18">
      <c r="B6" s="1202" t="s">
        <v>888</v>
      </c>
      <c r="C6" s="1203" t="s">
        <v>1785</v>
      </c>
      <c r="D6" s="1205" t="s">
        <v>1786</v>
      </c>
      <c r="E6" s="1205"/>
      <c r="F6" s="1205"/>
      <c r="G6" s="1205"/>
      <c r="H6" s="1205"/>
      <c r="I6" s="1205"/>
      <c r="J6" s="1205"/>
      <c r="K6" s="1205"/>
      <c r="L6" s="1205"/>
      <c r="M6" s="1205"/>
      <c r="N6" s="1205"/>
      <c r="O6" s="1205"/>
      <c r="P6" s="1205"/>
      <c r="Q6" s="1205"/>
      <c r="R6" s="91"/>
    </row>
    <row r="7" spans="2:19" ht="18">
      <c r="B7" s="1202"/>
      <c r="C7" s="1204"/>
      <c r="D7" s="1205" t="s">
        <v>1787</v>
      </c>
      <c r="E7" s="1205"/>
      <c r="F7" s="1205"/>
      <c r="G7" s="1205"/>
      <c r="H7" s="1205"/>
      <c r="I7" s="1205"/>
      <c r="J7" s="1205"/>
      <c r="K7" s="1205"/>
      <c r="L7" s="1205"/>
      <c r="M7" s="1205"/>
      <c r="N7" s="1205"/>
      <c r="O7" s="1205"/>
      <c r="P7" s="1205"/>
      <c r="Q7" s="1205"/>
      <c r="R7" s="91"/>
    </row>
    <row r="8" spans="2:19" ht="72">
      <c r="B8" s="1202"/>
      <c r="C8" s="1204"/>
      <c r="D8" s="355" t="s">
        <v>1788</v>
      </c>
      <c r="E8" s="355" t="s">
        <v>1789</v>
      </c>
      <c r="F8" s="355" t="s">
        <v>1790</v>
      </c>
      <c r="G8" s="355" t="s">
        <v>1791</v>
      </c>
      <c r="H8" s="355" t="s">
        <v>1792</v>
      </c>
      <c r="I8" s="355" t="s">
        <v>1793</v>
      </c>
      <c r="J8" s="355" t="s">
        <v>1794</v>
      </c>
      <c r="K8" s="355" t="s">
        <v>1764</v>
      </c>
      <c r="L8" s="355" t="s">
        <v>1795</v>
      </c>
      <c r="M8" s="355" t="s">
        <v>1796</v>
      </c>
      <c r="N8" s="355" t="s">
        <v>1797</v>
      </c>
      <c r="O8" s="355" t="s">
        <v>1765</v>
      </c>
      <c r="P8" s="356" t="s">
        <v>1766</v>
      </c>
      <c r="Q8" s="355" t="s">
        <v>2038</v>
      </c>
      <c r="R8" s="91"/>
    </row>
    <row r="9" spans="2:19" ht="18">
      <c r="B9" s="1078">
        <f>MAX(S12:S362)</f>
        <v>0</v>
      </c>
      <c r="C9" s="358" t="s">
        <v>804</v>
      </c>
      <c r="D9" s="358" t="s">
        <v>805</v>
      </c>
      <c r="E9" s="358" t="s">
        <v>806</v>
      </c>
      <c r="F9" s="358" t="s">
        <v>807</v>
      </c>
      <c r="G9" s="358" t="s">
        <v>808</v>
      </c>
      <c r="H9" s="358" t="s">
        <v>809</v>
      </c>
      <c r="I9" s="358" t="s">
        <v>810</v>
      </c>
      <c r="J9" s="358" t="s">
        <v>811</v>
      </c>
      <c r="K9" s="358" t="s">
        <v>812</v>
      </c>
      <c r="L9" s="358" t="s">
        <v>813</v>
      </c>
      <c r="M9" s="358" t="s">
        <v>814</v>
      </c>
      <c r="N9" s="358" t="s">
        <v>824</v>
      </c>
      <c r="O9" s="358" t="s">
        <v>825</v>
      </c>
      <c r="P9" s="358" t="s">
        <v>826</v>
      </c>
      <c r="Q9" s="358" t="s">
        <v>1962</v>
      </c>
      <c r="R9" s="91"/>
    </row>
    <row r="10" spans="2:19" ht="18">
      <c r="B10" s="359"/>
      <c r="C10" s="359">
        <v>1</v>
      </c>
      <c r="D10" s="359">
        <v>2</v>
      </c>
      <c r="E10" s="359">
        <v>3</v>
      </c>
      <c r="F10" s="359">
        <v>4</v>
      </c>
      <c r="G10" s="359">
        <v>5</v>
      </c>
      <c r="H10" s="359">
        <v>6</v>
      </c>
      <c r="I10" s="359">
        <v>7</v>
      </c>
      <c r="J10" s="359">
        <v>8</v>
      </c>
      <c r="K10" s="359">
        <v>9</v>
      </c>
      <c r="L10" s="359">
        <v>10</v>
      </c>
      <c r="M10" s="359">
        <v>11</v>
      </c>
      <c r="N10" s="359">
        <v>12</v>
      </c>
      <c r="O10" s="359">
        <v>13</v>
      </c>
      <c r="P10" s="359">
        <v>14</v>
      </c>
      <c r="Q10" s="359">
        <v>15</v>
      </c>
      <c r="R10" s="91"/>
    </row>
    <row r="11" spans="2:19" s="334" customFormat="1" ht="18">
      <c r="B11" s="891" t="s">
        <v>1268</v>
      </c>
      <c r="C11" s="359"/>
      <c r="D11" s="359"/>
      <c r="E11" s="361"/>
      <c r="F11" s="359"/>
      <c r="G11" s="362">
        <f>SUM(G12:G149)</f>
        <v>0</v>
      </c>
      <c r="H11" s="362">
        <f>SUM(H12:H149)</f>
        <v>0</v>
      </c>
      <c r="I11" s="362">
        <f>SUM(I12:I149)</f>
        <v>0</v>
      </c>
      <c r="J11" s="362">
        <f>SUM(J12:J149)</f>
        <v>0</v>
      </c>
      <c r="K11" s="359"/>
      <c r="L11" s="359"/>
      <c r="M11" s="359"/>
      <c r="N11" s="359"/>
      <c r="O11" s="362">
        <f>SUM(O12:O149)</f>
        <v>0</v>
      </c>
      <c r="P11" s="359"/>
      <c r="Q11" s="362">
        <f>SUM(Q12:Q149)</f>
        <v>0</v>
      </c>
      <c r="R11" s="87"/>
    </row>
    <row r="12" spans="2:19" s="334" customFormat="1" ht="18">
      <c r="B12" s="1090">
        <v>1</v>
      </c>
      <c r="C12" s="1091" t="s">
        <v>2657</v>
      </c>
      <c r="D12" s="1092" t="s">
        <v>2614</v>
      </c>
      <c r="E12" s="1090" t="s">
        <v>2615</v>
      </c>
      <c r="F12" s="1090">
        <v>1</v>
      </c>
      <c r="G12" s="1093">
        <v>0</v>
      </c>
      <c r="H12" s="1093">
        <v>0</v>
      </c>
      <c r="I12" s="1093">
        <v>0</v>
      </c>
      <c r="J12" s="366">
        <v>0</v>
      </c>
      <c r="K12" s="1090">
        <v>0</v>
      </c>
      <c r="L12" s="1090">
        <v>2</v>
      </c>
      <c r="M12" s="1090">
        <v>16</v>
      </c>
      <c r="N12" s="363">
        <v>6</v>
      </c>
      <c r="O12" s="1094">
        <v>0</v>
      </c>
      <c r="P12" s="1090">
        <v>4</v>
      </c>
      <c r="Q12" s="1093">
        <v>0</v>
      </c>
      <c r="R12" s="87"/>
      <c r="S12" s="1077">
        <f>SUMIF($B$12:$B$362,B12,$I$12:$I$362)</f>
        <v>0</v>
      </c>
    </row>
    <row r="13" spans="2:19" s="334" customFormat="1" ht="18">
      <c r="B13" s="1090"/>
      <c r="C13" s="1091"/>
      <c r="D13" s="1092"/>
      <c r="E13" s="1090"/>
      <c r="F13" s="1090"/>
      <c r="G13" s="1093"/>
      <c r="H13" s="1093"/>
      <c r="I13" s="1093"/>
      <c r="J13" s="366"/>
      <c r="K13" s="1090"/>
      <c r="L13" s="1090"/>
      <c r="M13" s="1090"/>
      <c r="N13" s="363"/>
      <c r="O13" s="1094"/>
      <c r="P13" s="1090"/>
      <c r="Q13" s="1093"/>
      <c r="R13" s="87"/>
      <c r="S13" s="1077">
        <f t="shared" ref="S13:S76" si="0">SUMIF($B$12:$B$362,B13,$I$12:$I$362)</f>
        <v>0</v>
      </c>
    </row>
    <row r="14" spans="2:19" s="334" customFormat="1" ht="18">
      <c r="B14" s="1090"/>
      <c r="C14" s="1091"/>
      <c r="D14" s="1092"/>
      <c r="E14" s="1090"/>
      <c r="F14" s="1090"/>
      <c r="G14" s="1093"/>
      <c r="H14" s="1093"/>
      <c r="I14" s="366"/>
      <c r="J14" s="366"/>
      <c r="K14" s="1090"/>
      <c r="L14" s="1090"/>
      <c r="M14" s="1090"/>
      <c r="N14" s="363"/>
      <c r="O14" s="1093"/>
      <c r="P14" s="1090"/>
      <c r="Q14" s="1093"/>
      <c r="R14" s="87"/>
      <c r="S14" s="1077">
        <f t="shared" si="0"/>
        <v>0</v>
      </c>
    </row>
    <row r="15" spans="2:19" s="334" customFormat="1" ht="18">
      <c r="B15" s="1090"/>
      <c r="C15" s="1091"/>
      <c r="D15" s="1092"/>
      <c r="E15" s="1090"/>
      <c r="F15" s="1090"/>
      <c r="G15" s="1093"/>
      <c r="H15" s="1093"/>
      <c r="I15" s="366"/>
      <c r="J15" s="366"/>
      <c r="K15" s="1090"/>
      <c r="L15" s="1090"/>
      <c r="M15" s="1090"/>
      <c r="N15" s="363"/>
      <c r="O15" s="1093"/>
      <c r="P15" s="1090"/>
      <c r="Q15" s="1093"/>
      <c r="R15" s="87"/>
      <c r="S15" s="1077">
        <f t="shared" si="0"/>
        <v>0</v>
      </c>
    </row>
    <row r="16" spans="2:19" s="334" customFormat="1" ht="18">
      <c r="B16" s="1090"/>
      <c r="C16" s="1091"/>
      <c r="D16" s="1092"/>
      <c r="E16" s="1090"/>
      <c r="F16" s="1090"/>
      <c r="G16" s="1093"/>
      <c r="H16" s="1093"/>
      <c r="I16" s="366"/>
      <c r="J16" s="366"/>
      <c r="K16" s="1090"/>
      <c r="L16" s="1090"/>
      <c r="M16" s="1090"/>
      <c r="N16" s="363"/>
      <c r="O16" s="1093"/>
      <c r="P16" s="1090"/>
      <c r="Q16" s="1093"/>
      <c r="R16" s="87"/>
      <c r="S16" s="1077">
        <f t="shared" si="0"/>
        <v>0</v>
      </c>
    </row>
    <row r="17" spans="2:19" s="334" customFormat="1" ht="18">
      <c r="B17" s="1090"/>
      <c r="C17" s="1091"/>
      <c r="D17" s="1092"/>
      <c r="E17" s="1090"/>
      <c r="F17" s="1090"/>
      <c r="G17" s="1093"/>
      <c r="H17" s="1093"/>
      <c r="I17" s="366"/>
      <c r="J17" s="366"/>
      <c r="K17" s="1090"/>
      <c r="L17" s="1090"/>
      <c r="M17" s="1090"/>
      <c r="N17" s="363"/>
      <c r="O17" s="1093"/>
      <c r="P17" s="1090"/>
      <c r="Q17" s="1093"/>
      <c r="R17" s="87"/>
      <c r="S17" s="1077">
        <f t="shared" si="0"/>
        <v>0</v>
      </c>
    </row>
    <row r="18" spans="2:19" s="334" customFormat="1" ht="18">
      <c r="B18" s="1090"/>
      <c r="C18" s="1091"/>
      <c r="D18" s="1092"/>
      <c r="E18" s="1090"/>
      <c r="F18" s="1090"/>
      <c r="G18" s="1093"/>
      <c r="H18" s="1093"/>
      <c r="I18" s="366"/>
      <c r="J18" s="366"/>
      <c r="K18" s="1090"/>
      <c r="L18" s="1090"/>
      <c r="M18" s="1090"/>
      <c r="N18" s="363"/>
      <c r="O18" s="1093"/>
      <c r="P18" s="1090"/>
      <c r="Q18" s="1093"/>
      <c r="S18" s="1077">
        <f t="shared" si="0"/>
        <v>0</v>
      </c>
    </row>
    <row r="19" spans="2:19" s="334" customFormat="1" ht="18">
      <c r="B19" s="1090"/>
      <c r="C19" s="1091"/>
      <c r="D19" s="1092"/>
      <c r="E19" s="1090"/>
      <c r="F19" s="1090"/>
      <c r="G19" s="1093"/>
      <c r="H19" s="1093"/>
      <c r="I19" s="366"/>
      <c r="J19" s="366"/>
      <c r="K19" s="1090"/>
      <c r="L19" s="1090"/>
      <c r="M19" s="1090"/>
      <c r="N19" s="363"/>
      <c r="O19" s="1093"/>
      <c r="P19" s="1090"/>
      <c r="Q19" s="1093"/>
      <c r="R19" s="87"/>
      <c r="S19" s="1077">
        <f t="shared" si="0"/>
        <v>0</v>
      </c>
    </row>
    <row r="20" spans="2:19" s="334" customFormat="1" ht="18">
      <c r="B20" s="1090"/>
      <c r="C20" s="1091"/>
      <c r="D20" s="1092"/>
      <c r="E20" s="1090"/>
      <c r="F20" s="1090"/>
      <c r="G20" s="1093"/>
      <c r="H20" s="1093"/>
      <c r="I20" s="366"/>
      <c r="J20" s="366"/>
      <c r="K20" s="1090"/>
      <c r="L20" s="1090"/>
      <c r="M20" s="1090"/>
      <c r="N20" s="363"/>
      <c r="O20" s="1093"/>
      <c r="P20" s="1090"/>
      <c r="Q20" s="1093"/>
      <c r="R20" s="87"/>
      <c r="S20" s="1077">
        <f t="shared" si="0"/>
        <v>0</v>
      </c>
    </row>
    <row r="21" spans="2:19" s="334" customFormat="1" ht="18">
      <c r="B21" s="1090"/>
      <c r="C21" s="1091"/>
      <c r="D21" s="1092"/>
      <c r="E21" s="1090"/>
      <c r="F21" s="1090"/>
      <c r="G21" s="1093"/>
      <c r="H21" s="1093"/>
      <c r="I21" s="366"/>
      <c r="J21" s="366"/>
      <c r="K21" s="1090"/>
      <c r="L21" s="1090"/>
      <c r="M21" s="1090"/>
      <c r="N21" s="363"/>
      <c r="O21" s="1093"/>
      <c r="P21" s="1090"/>
      <c r="Q21" s="1093"/>
      <c r="R21" s="87"/>
      <c r="S21" s="1077">
        <f t="shared" si="0"/>
        <v>0</v>
      </c>
    </row>
    <row r="22" spans="2:19" s="334" customFormat="1" ht="18">
      <c r="B22" s="1090"/>
      <c r="C22" s="1091"/>
      <c r="D22" s="1092"/>
      <c r="E22" s="1090"/>
      <c r="F22" s="1090"/>
      <c r="G22" s="1093"/>
      <c r="H22" s="1093"/>
      <c r="I22" s="366"/>
      <c r="J22" s="366"/>
      <c r="K22" s="1090"/>
      <c r="L22" s="1090"/>
      <c r="M22" s="1090"/>
      <c r="N22" s="363"/>
      <c r="O22" s="1093"/>
      <c r="P22" s="1090"/>
      <c r="Q22" s="1093"/>
      <c r="R22" s="87"/>
      <c r="S22" s="1077">
        <f t="shared" si="0"/>
        <v>0</v>
      </c>
    </row>
    <row r="23" spans="2:19" s="334" customFormat="1" ht="18">
      <c r="B23" s="1090"/>
      <c r="C23" s="1091"/>
      <c r="D23" s="1092"/>
      <c r="E23" s="1090"/>
      <c r="F23" s="1090"/>
      <c r="G23" s="1093"/>
      <c r="H23" s="1093"/>
      <c r="I23" s="366"/>
      <c r="J23" s="366"/>
      <c r="K23" s="1090"/>
      <c r="L23" s="1090"/>
      <c r="M23" s="1090"/>
      <c r="N23" s="363"/>
      <c r="O23" s="1093"/>
      <c r="P23" s="1090"/>
      <c r="Q23" s="1093"/>
      <c r="R23" s="87"/>
      <c r="S23" s="1077">
        <f t="shared" si="0"/>
        <v>0</v>
      </c>
    </row>
    <row r="24" spans="2:19" s="334" customFormat="1" ht="18">
      <c r="B24" s="1090"/>
      <c r="C24" s="1091"/>
      <c r="D24" s="1092"/>
      <c r="E24" s="1090"/>
      <c r="F24" s="1090"/>
      <c r="G24" s="1093"/>
      <c r="H24" s="1093"/>
      <c r="I24" s="366"/>
      <c r="J24" s="366"/>
      <c r="K24" s="1090"/>
      <c r="L24" s="1090"/>
      <c r="M24" s="1090"/>
      <c r="N24" s="363"/>
      <c r="O24" s="1093"/>
      <c r="P24" s="1090"/>
      <c r="Q24" s="1093"/>
      <c r="R24" s="87"/>
      <c r="S24" s="1077">
        <f t="shared" si="0"/>
        <v>0</v>
      </c>
    </row>
    <row r="25" spans="2:19" s="334" customFormat="1" ht="18">
      <c r="B25" s="1090"/>
      <c r="C25" s="1091"/>
      <c r="D25" s="1092"/>
      <c r="E25" s="1090"/>
      <c r="F25" s="1090"/>
      <c r="G25" s="1093"/>
      <c r="H25" s="1093"/>
      <c r="I25" s="366"/>
      <c r="J25" s="366"/>
      <c r="K25" s="1090"/>
      <c r="L25" s="1090"/>
      <c r="M25" s="1090"/>
      <c r="N25" s="363"/>
      <c r="O25" s="1093"/>
      <c r="P25" s="1090"/>
      <c r="Q25" s="1093"/>
      <c r="R25" s="87"/>
      <c r="S25" s="1077">
        <f t="shared" si="0"/>
        <v>0</v>
      </c>
    </row>
    <row r="26" spans="2:19" s="334" customFormat="1" ht="18">
      <c r="B26" s="1090"/>
      <c r="C26" s="1091"/>
      <c r="D26" s="1092"/>
      <c r="E26" s="1090"/>
      <c r="F26" s="1090"/>
      <c r="G26" s="1093"/>
      <c r="H26" s="1093"/>
      <c r="I26" s="366"/>
      <c r="J26" s="366"/>
      <c r="K26" s="1090"/>
      <c r="L26" s="1090"/>
      <c r="M26" s="1090"/>
      <c r="N26" s="363"/>
      <c r="O26" s="1093"/>
      <c r="P26" s="1090"/>
      <c r="Q26" s="1093"/>
      <c r="R26" s="87"/>
      <c r="S26" s="1077">
        <f t="shared" si="0"/>
        <v>0</v>
      </c>
    </row>
    <row r="27" spans="2:19" s="334" customFormat="1" ht="18">
      <c r="B27" s="1090"/>
      <c r="C27" s="1091"/>
      <c r="D27" s="1092"/>
      <c r="E27" s="1090"/>
      <c r="F27" s="1090"/>
      <c r="G27" s="1093"/>
      <c r="H27" s="1093"/>
      <c r="I27" s="366"/>
      <c r="J27" s="366"/>
      <c r="K27" s="1090"/>
      <c r="L27" s="1090"/>
      <c r="M27" s="1090"/>
      <c r="N27" s="363"/>
      <c r="O27" s="1093"/>
      <c r="P27" s="1090"/>
      <c r="Q27" s="1093"/>
      <c r="R27" s="87"/>
      <c r="S27" s="1077">
        <f t="shared" si="0"/>
        <v>0</v>
      </c>
    </row>
    <row r="28" spans="2:19" s="334" customFormat="1" ht="18">
      <c r="B28" s="1090"/>
      <c r="C28" s="1091"/>
      <c r="D28" s="1092"/>
      <c r="E28" s="1090"/>
      <c r="F28" s="1090"/>
      <c r="G28" s="1093"/>
      <c r="H28" s="1093"/>
      <c r="I28" s="366"/>
      <c r="J28" s="366"/>
      <c r="K28" s="1090"/>
      <c r="L28" s="1090"/>
      <c r="M28" s="1090"/>
      <c r="N28" s="363"/>
      <c r="O28" s="1093"/>
      <c r="P28" s="1090"/>
      <c r="Q28" s="1093"/>
      <c r="R28" s="87"/>
      <c r="S28" s="1077">
        <f t="shared" si="0"/>
        <v>0</v>
      </c>
    </row>
    <row r="29" spans="2:19" s="334" customFormat="1" ht="18">
      <c r="B29" s="1090"/>
      <c r="C29" s="1091"/>
      <c r="D29" s="1092"/>
      <c r="E29" s="1090"/>
      <c r="F29" s="1090"/>
      <c r="G29" s="1093"/>
      <c r="H29" s="1093"/>
      <c r="I29" s="366"/>
      <c r="J29" s="366"/>
      <c r="K29" s="1090"/>
      <c r="L29" s="1090"/>
      <c r="M29" s="1090"/>
      <c r="N29" s="363"/>
      <c r="O29" s="1093"/>
      <c r="P29" s="1090"/>
      <c r="Q29" s="1093"/>
      <c r="R29" s="87"/>
      <c r="S29" s="1077">
        <f t="shared" si="0"/>
        <v>0</v>
      </c>
    </row>
    <row r="30" spans="2:19" s="334" customFormat="1" ht="18">
      <c r="B30" s="1090"/>
      <c r="C30" s="1091"/>
      <c r="D30" s="1092"/>
      <c r="E30" s="1090"/>
      <c r="F30" s="1090"/>
      <c r="G30" s="1093"/>
      <c r="H30" s="1093"/>
      <c r="I30" s="366"/>
      <c r="J30" s="366"/>
      <c r="K30" s="1090"/>
      <c r="L30" s="1090"/>
      <c r="M30" s="1090"/>
      <c r="N30" s="363"/>
      <c r="O30" s="1093"/>
      <c r="P30" s="1090"/>
      <c r="Q30" s="1093"/>
      <c r="R30" s="87"/>
      <c r="S30" s="1077">
        <f t="shared" si="0"/>
        <v>0</v>
      </c>
    </row>
    <row r="31" spans="2:19" s="334" customFormat="1" ht="18">
      <c r="B31" s="1090"/>
      <c r="C31" s="1091"/>
      <c r="D31" s="1092"/>
      <c r="E31" s="1090"/>
      <c r="F31" s="1090"/>
      <c r="G31" s="1093"/>
      <c r="H31" s="1093"/>
      <c r="I31" s="366"/>
      <c r="J31" s="366"/>
      <c r="K31" s="1090"/>
      <c r="L31" s="1090"/>
      <c r="M31" s="1090"/>
      <c r="N31" s="363"/>
      <c r="O31" s="1093"/>
      <c r="P31" s="1090"/>
      <c r="Q31" s="1093"/>
      <c r="R31" s="87"/>
      <c r="S31" s="1077">
        <f t="shared" si="0"/>
        <v>0</v>
      </c>
    </row>
    <row r="32" spans="2:19" s="334" customFormat="1" ht="18">
      <c r="B32" s="1090"/>
      <c r="C32" s="1091"/>
      <c r="D32" s="1092"/>
      <c r="E32" s="1090"/>
      <c r="F32" s="1090"/>
      <c r="G32" s="1093"/>
      <c r="H32" s="1093"/>
      <c r="I32" s="366"/>
      <c r="J32" s="366"/>
      <c r="K32" s="1090"/>
      <c r="L32" s="1090"/>
      <c r="M32" s="1090"/>
      <c r="N32" s="363"/>
      <c r="O32" s="1093"/>
      <c r="P32" s="1090"/>
      <c r="Q32" s="1093"/>
      <c r="R32" s="87"/>
      <c r="S32" s="1077">
        <f t="shared" si="0"/>
        <v>0</v>
      </c>
    </row>
    <row r="33" spans="2:19" s="334" customFormat="1" ht="18">
      <c r="B33" s="1090"/>
      <c r="C33" s="1091"/>
      <c r="D33" s="1092"/>
      <c r="E33" s="1090"/>
      <c r="F33" s="1090"/>
      <c r="G33" s="1093"/>
      <c r="H33" s="1093"/>
      <c r="I33" s="366"/>
      <c r="J33" s="366"/>
      <c r="K33" s="1090"/>
      <c r="L33" s="1090"/>
      <c r="M33" s="1090"/>
      <c r="N33" s="363"/>
      <c r="O33" s="1093"/>
      <c r="P33" s="1090"/>
      <c r="Q33" s="1093"/>
      <c r="R33" s="87"/>
      <c r="S33" s="1077">
        <f t="shared" si="0"/>
        <v>0</v>
      </c>
    </row>
    <row r="34" spans="2:19" s="334" customFormat="1" ht="18">
      <c r="B34" s="1090"/>
      <c r="C34" s="1091"/>
      <c r="D34" s="1092"/>
      <c r="E34" s="1090"/>
      <c r="F34" s="1090"/>
      <c r="G34" s="1093"/>
      <c r="H34" s="1093"/>
      <c r="I34" s="366"/>
      <c r="J34" s="366"/>
      <c r="K34" s="1090"/>
      <c r="L34" s="1090"/>
      <c r="M34" s="1090"/>
      <c r="N34" s="363"/>
      <c r="O34" s="1093"/>
      <c r="P34" s="1090"/>
      <c r="Q34" s="1093"/>
      <c r="R34" s="87"/>
      <c r="S34" s="1077">
        <f t="shared" si="0"/>
        <v>0</v>
      </c>
    </row>
    <row r="35" spans="2:19" s="334" customFormat="1" ht="18">
      <c r="B35" s="1090"/>
      <c r="C35" s="1091"/>
      <c r="D35" s="1092"/>
      <c r="E35" s="1090"/>
      <c r="F35" s="1090"/>
      <c r="G35" s="1093"/>
      <c r="H35" s="1093"/>
      <c r="I35" s="366"/>
      <c r="J35" s="366"/>
      <c r="K35" s="1090"/>
      <c r="L35" s="1090"/>
      <c r="M35" s="1090"/>
      <c r="N35" s="363"/>
      <c r="O35" s="1093"/>
      <c r="P35" s="1090"/>
      <c r="Q35" s="1093"/>
      <c r="R35" s="87"/>
      <c r="S35" s="1077">
        <f t="shared" si="0"/>
        <v>0</v>
      </c>
    </row>
    <row r="36" spans="2:19" s="334" customFormat="1" ht="18">
      <c r="B36" s="1095"/>
      <c r="C36" s="1091"/>
      <c r="D36" s="1092"/>
      <c r="E36" s="1095"/>
      <c r="F36" s="1090"/>
      <c r="G36" s="1096"/>
      <c r="H36" s="1096"/>
      <c r="I36" s="1076"/>
      <c r="J36" s="366"/>
      <c r="K36" s="1095"/>
      <c r="L36" s="1095"/>
      <c r="M36" s="1095"/>
      <c r="N36" s="363"/>
      <c r="O36" s="1096"/>
      <c r="P36" s="1090"/>
      <c r="Q36" s="1093"/>
      <c r="R36" s="87"/>
      <c r="S36" s="1077">
        <f t="shared" si="0"/>
        <v>0</v>
      </c>
    </row>
    <row r="37" spans="2:19" s="334" customFormat="1" ht="18">
      <c r="B37" s="1095"/>
      <c r="C37" s="1091"/>
      <c r="D37" s="1092"/>
      <c r="E37" s="1095"/>
      <c r="F37" s="1090"/>
      <c r="G37" s="1096"/>
      <c r="H37" s="1096"/>
      <c r="I37" s="1076"/>
      <c r="J37" s="366"/>
      <c r="K37" s="1095"/>
      <c r="L37" s="1095"/>
      <c r="M37" s="1095"/>
      <c r="N37" s="363"/>
      <c r="O37" s="1096"/>
      <c r="P37" s="1090"/>
      <c r="Q37" s="1093"/>
      <c r="R37" s="87"/>
      <c r="S37" s="1077">
        <f t="shared" si="0"/>
        <v>0</v>
      </c>
    </row>
    <row r="38" spans="2:19" s="334" customFormat="1" ht="18">
      <c r="B38" s="1095"/>
      <c r="C38" s="1097"/>
      <c r="D38" s="1092"/>
      <c r="E38" s="1095"/>
      <c r="F38" s="1090"/>
      <c r="G38" s="1096"/>
      <c r="H38" s="1096"/>
      <c r="I38" s="1076"/>
      <c r="J38" s="366"/>
      <c r="K38" s="1095"/>
      <c r="L38" s="1095"/>
      <c r="M38" s="1095"/>
      <c r="N38" s="363"/>
      <c r="O38" s="1096"/>
      <c r="P38" s="1090"/>
      <c r="Q38" s="1093"/>
      <c r="R38" s="87"/>
      <c r="S38" s="1077">
        <f t="shared" si="0"/>
        <v>0</v>
      </c>
    </row>
    <row r="39" spans="2:19" s="334" customFormat="1" ht="18">
      <c r="B39" s="1095"/>
      <c r="C39" s="1097"/>
      <c r="D39" s="1092"/>
      <c r="E39" s="1095"/>
      <c r="F39" s="1090"/>
      <c r="G39" s="1096"/>
      <c r="H39" s="1096"/>
      <c r="I39" s="1076"/>
      <c r="J39" s="366"/>
      <c r="K39" s="1095"/>
      <c r="L39" s="1095"/>
      <c r="M39" s="1095"/>
      <c r="N39" s="363"/>
      <c r="O39" s="1096"/>
      <c r="P39" s="1090"/>
      <c r="Q39" s="1093"/>
      <c r="R39" s="87"/>
      <c r="S39" s="1077">
        <f t="shared" si="0"/>
        <v>0</v>
      </c>
    </row>
    <row r="40" spans="2:19" s="334" customFormat="1" ht="18">
      <c r="B40" s="1095"/>
      <c r="C40" s="1097"/>
      <c r="D40" s="1092"/>
      <c r="E40" s="1095"/>
      <c r="F40" s="1090"/>
      <c r="G40" s="1096"/>
      <c r="H40" s="1096"/>
      <c r="I40" s="1076"/>
      <c r="J40" s="366"/>
      <c r="K40" s="1095"/>
      <c r="L40" s="1095"/>
      <c r="M40" s="1095"/>
      <c r="N40" s="363"/>
      <c r="O40" s="1096"/>
      <c r="P40" s="1090"/>
      <c r="Q40" s="1093"/>
      <c r="R40" s="87"/>
      <c r="S40" s="1077">
        <f t="shared" si="0"/>
        <v>0</v>
      </c>
    </row>
    <row r="41" spans="2:19" s="334" customFormat="1" ht="18">
      <c r="B41" s="1095"/>
      <c r="C41" s="1097"/>
      <c r="D41" s="1092"/>
      <c r="E41" s="1095"/>
      <c r="F41" s="1090"/>
      <c r="G41" s="1096"/>
      <c r="H41" s="1096"/>
      <c r="I41" s="1076"/>
      <c r="J41" s="366"/>
      <c r="K41" s="1095"/>
      <c r="L41" s="1095"/>
      <c r="M41" s="1095"/>
      <c r="N41" s="363"/>
      <c r="O41" s="1096"/>
      <c r="P41" s="1090"/>
      <c r="Q41" s="1093"/>
      <c r="R41" s="87"/>
      <c r="S41" s="1077">
        <f t="shared" si="0"/>
        <v>0</v>
      </c>
    </row>
    <row r="42" spans="2:19" s="334" customFormat="1" ht="18">
      <c r="B42" s="1090"/>
      <c r="C42" s="1097"/>
      <c r="D42" s="1092"/>
      <c r="E42" s="1090"/>
      <c r="F42" s="1090"/>
      <c r="G42" s="1093"/>
      <c r="H42" s="1093"/>
      <c r="I42" s="366"/>
      <c r="J42" s="366"/>
      <c r="K42" s="1090"/>
      <c r="L42" s="1090"/>
      <c r="M42" s="1090"/>
      <c r="N42" s="363"/>
      <c r="O42" s="1093"/>
      <c r="P42" s="1090"/>
      <c r="Q42" s="1093"/>
      <c r="R42" s="87"/>
      <c r="S42" s="1077">
        <f t="shared" si="0"/>
        <v>0</v>
      </c>
    </row>
    <row r="43" spans="2:19" s="334" customFormat="1" ht="18">
      <c r="B43" s="1090"/>
      <c r="C43" s="1097"/>
      <c r="D43" s="1092"/>
      <c r="E43" s="1090"/>
      <c r="F43" s="1090"/>
      <c r="G43" s="1093"/>
      <c r="H43" s="1093"/>
      <c r="I43" s="366"/>
      <c r="J43" s="366"/>
      <c r="K43" s="1090"/>
      <c r="L43" s="1090"/>
      <c r="M43" s="1090"/>
      <c r="N43" s="363"/>
      <c r="O43" s="1093"/>
      <c r="P43" s="1090"/>
      <c r="Q43" s="1093"/>
      <c r="R43" s="87"/>
      <c r="S43" s="1077">
        <f t="shared" si="0"/>
        <v>0</v>
      </c>
    </row>
    <row r="44" spans="2:19" s="334" customFormat="1" ht="18">
      <c r="B44" s="1090"/>
      <c r="C44" s="1097"/>
      <c r="D44" s="1092"/>
      <c r="E44" s="1090"/>
      <c r="F44" s="1090"/>
      <c r="G44" s="1093"/>
      <c r="H44" s="1093"/>
      <c r="I44" s="366"/>
      <c r="J44" s="366"/>
      <c r="K44" s="1090"/>
      <c r="L44" s="1090"/>
      <c r="M44" s="1090"/>
      <c r="N44" s="363"/>
      <c r="O44" s="1093"/>
      <c r="P44" s="1090"/>
      <c r="Q44" s="1093"/>
      <c r="R44" s="87"/>
      <c r="S44" s="1077">
        <f t="shared" si="0"/>
        <v>0</v>
      </c>
    </row>
    <row r="45" spans="2:19" s="334" customFormat="1" ht="18">
      <c r="B45" s="1090"/>
      <c r="C45" s="1091"/>
      <c r="D45" s="1092"/>
      <c r="E45" s="1090"/>
      <c r="F45" s="1090"/>
      <c r="G45" s="1093"/>
      <c r="H45" s="1093"/>
      <c r="I45" s="366"/>
      <c r="J45" s="366"/>
      <c r="K45" s="1090"/>
      <c r="L45" s="1090"/>
      <c r="M45" s="1090"/>
      <c r="N45" s="363"/>
      <c r="O45" s="1093"/>
      <c r="P45" s="1090"/>
      <c r="Q45" s="1093"/>
      <c r="R45" s="87"/>
      <c r="S45" s="1077">
        <f t="shared" si="0"/>
        <v>0</v>
      </c>
    </row>
    <row r="46" spans="2:19" s="334" customFormat="1" ht="18">
      <c r="B46" s="1090"/>
      <c r="C46" s="1091"/>
      <c r="D46" s="1092"/>
      <c r="E46" s="1090"/>
      <c r="F46" s="1090"/>
      <c r="G46" s="1093"/>
      <c r="H46" s="1093"/>
      <c r="I46" s="366"/>
      <c r="J46" s="366"/>
      <c r="K46" s="1090"/>
      <c r="L46" s="1090"/>
      <c r="M46" s="1090"/>
      <c r="N46" s="363"/>
      <c r="O46" s="1093"/>
      <c r="P46" s="1090"/>
      <c r="Q46" s="1093"/>
      <c r="R46" s="87"/>
      <c r="S46" s="1077">
        <f t="shared" si="0"/>
        <v>0</v>
      </c>
    </row>
    <row r="47" spans="2:19" s="334" customFormat="1" ht="18">
      <c r="B47" s="1090"/>
      <c r="C47" s="1091"/>
      <c r="D47" s="1092"/>
      <c r="E47" s="1090"/>
      <c r="F47" s="1090"/>
      <c r="G47" s="1093"/>
      <c r="H47" s="1093"/>
      <c r="I47" s="1093"/>
      <c r="J47" s="366"/>
      <c r="K47" s="1090"/>
      <c r="L47" s="1090"/>
      <c r="M47" s="1090"/>
      <c r="N47" s="363"/>
      <c r="O47" s="1093"/>
      <c r="P47" s="1090"/>
      <c r="Q47" s="1093"/>
      <c r="R47" s="87"/>
      <c r="S47" s="1077">
        <f t="shared" si="0"/>
        <v>0</v>
      </c>
    </row>
    <row r="48" spans="2:19" ht="18">
      <c r="B48" s="1090"/>
      <c r="C48" s="1091"/>
      <c r="D48" s="1092"/>
      <c r="E48" s="1090"/>
      <c r="F48" s="1090"/>
      <c r="G48" s="1093"/>
      <c r="H48" s="1093"/>
      <c r="I48" s="1093"/>
      <c r="J48" s="366"/>
      <c r="K48" s="1090"/>
      <c r="L48" s="1090"/>
      <c r="M48" s="1090"/>
      <c r="N48" s="363"/>
      <c r="O48" s="1093"/>
      <c r="P48" s="1090"/>
      <c r="Q48" s="1093"/>
      <c r="R48" s="91"/>
      <c r="S48" s="1077">
        <f t="shared" si="0"/>
        <v>0</v>
      </c>
    </row>
    <row r="49" spans="2:19" ht="18">
      <c r="B49" s="1090"/>
      <c r="C49" s="1091"/>
      <c r="D49" s="1092"/>
      <c r="E49" s="1090"/>
      <c r="F49" s="1090"/>
      <c r="G49" s="1093"/>
      <c r="H49" s="1093"/>
      <c r="I49" s="1093"/>
      <c r="J49" s="366"/>
      <c r="K49" s="1090"/>
      <c r="L49" s="1090"/>
      <c r="M49" s="1090"/>
      <c r="N49" s="363"/>
      <c r="O49" s="1093"/>
      <c r="P49" s="1090"/>
      <c r="Q49" s="1093"/>
      <c r="R49" s="91"/>
      <c r="S49" s="1077">
        <f t="shared" si="0"/>
        <v>0</v>
      </c>
    </row>
    <row r="50" spans="2:19" ht="18">
      <c r="B50" s="1090"/>
      <c r="C50" s="1091"/>
      <c r="D50" s="1092"/>
      <c r="E50" s="1090"/>
      <c r="F50" s="1090"/>
      <c r="G50" s="1093"/>
      <c r="H50" s="1093"/>
      <c r="I50" s="1093"/>
      <c r="J50" s="366"/>
      <c r="K50" s="1090"/>
      <c r="L50" s="1090"/>
      <c r="M50" s="1090"/>
      <c r="N50" s="363"/>
      <c r="O50" s="1093"/>
      <c r="P50" s="1090"/>
      <c r="Q50" s="1093"/>
      <c r="R50" s="91"/>
      <c r="S50" s="1077">
        <f t="shared" si="0"/>
        <v>0</v>
      </c>
    </row>
    <row r="51" spans="2:19" ht="18">
      <c r="B51" s="1090"/>
      <c r="C51" s="1091"/>
      <c r="D51" s="1092"/>
      <c r="E51" s="1090"/>
      <c r="F51" s="1090"/>
      <c r="G51" s="1093"/>
      <c r="H51" s="1093"/>
      <c r="I51" s="1093"/>
      <c r="J51" s="366"/>
      <c r="K51" s="1090"/>
      <c r="L51" s="1090"/>
      <c r="M51" s="1090"/>
      <c r="N51" s="363"/>
      <c r="O51" s="1093"/>
      <c r="P51" s="1090"/>
      <c r="Q51" s="1093"/>
      <c r="R51" s="91"/>
      <c r="S51" s="1077">
        <f t="shared" si="0"/>
        <v>0</v>
      </c>
    </row>
    <row r="52" spans="2:19" ht="18">
      <c r="B52" s="1090"/>
      <c r="C52" s="1091"/>
      <c r="D52" s="1092"/>
      <c r="E52" s="1090"/>
      <c r="F52" s="1090"/>
      <c r="G52" s="1093"/>
      <c r="H52" s="1093"/>
      <c r="I52" s="1093"/>
      <c r="J52" s="366"/>
      <c r="K52" s="1090"/>
      <c r="L52" s="1090"/>
      <c r="M52" s="1090"/>
      <c r="N52" s="363"/>
      <c r="O52" s="1093"/>
      <c r="P52" s="1090"/>
      <c r="Q52" s="1093"/>
      <c r="R52" s="91"/>
      <c r="S52" s="1077">
        <f t="shared" si="0"/>
        <v>0</v>
      </c>
    </row>
    <row r="53" spans="2:19" ht="18">
      <c r="B53" s="1090"/>
      <c r="C53" s="1091"/>
      <c r="D53" s="1092"/>
      <c r="E53" s="1090"/>
      <c r="F53" s="1090"/>
      <c r="G53" s="1093"/>
      <c r="H53" s="1093"/>
      <c r="I53" s="1093"/>
      <c r="J53" s="366"/>
      <c r="K53" s="1090"/>
      <c r="L53" s="1090"/>
      <c r="M53" s="1090"/>
      <c r="N53" s="363"/>
      <c r="O53" s="1093"/>
      <c r="P53" s="1090"/>
      <c r="Q53" s="1093"/>
      <c r="S53" s="1077">
        <f t="shared" si="0"/>
        <v>0</v>
      </c>
    </row>
    <row r="54" spans="2:19" ht="18">
      <c r="B54" s="1090"/>
      <c r="C54" s="1091"/>
      <c r="D54" s="1092"/>
      <c r="E54" s="1090"/>
      <c r="F54" s="1090"/>
      <c r="G54" s="1093"/>
      <c r="H54" s="1093"/>
      <c r="I54" s="1093"/>
      <c r="J54" s="366"/>
      <c r="K54" s="1090"/>
      <c r="L54" s="1090"/>
      <c r="M54" s="1090"/>
      <c r="N54" s="363"/>
      <c r="O54" s="1093"/>
      <c r="P54" s="1090"/>
      <c r="Q54" s="1093"/>
      <c r="S54" s="1077">
        <f t="shared" si="0"/>
        <v>0</v>
      </c>
    </row>
    <row r="55" spans="2:19" ht="18">
      <c r="B55" s="1090"/>
      <c r="C55" s="1091"/>
      <c r="D55" s="1092"/>
      <c r="E55" s="1090"/>
      <c r="F55" s="1090"/>
      <c r="G55" s="1093"/>
      <c r="H55" s="1093"/>
      <c r="I55" s="1093"/>
      <c r="J55" s="366"/>
      <c r="K55" s="1090"/>
      <c r="L55" s="1090"/>
      <c r="M55" s="1090"/>
      <c r="N55" s="363"/>
      <c r="O55" s="1093"/>
      <c r="P55" s="1090"/>
      <c r="Q55" s="1093"/>
      <c r="S55" s="1077">
        <f t="shared" si="0"/>
        <v>0</v>
      </c>
    </row>
    <row r="56" spans="2:19" ht="18">
      <c r="B56" s="363"/>
      <c r="C56" s="364"/>
      <c r="D56" s="363"/>
      <c r="E56" s="365"/>
      <c r="F56" s="363"/>
      <c r="G56" s="366"/>
      <c r="H56" s="366"/>
      <c r="I56" s="366"/>
      <c r="J56" s="366"/>
      <c r="K56" s="365"/>
      <c r="L56" s="363"/>
      <c r="M56" s="367"/>
      <c r="N56" s="363"/>
      <c r="O56" s="368"/>
      <c r="P56" s="363"/>
      <c r="Q56" s="366"/>
      <c r="S56" s="1077">
        <f t="shared" si="0"/>
        <v>0</v>
      </c>
    </row>
    <row r="57" spans="2:19" ht="18">
      <c r="B57" s="363"/>
      <c r="C57" s="364"/>
      <c r="D57" s="363"/>
      <c r="E57" s="365"/>
      <c r="F57" s="363"/>
      <c r="G57" s="366"/>
      <c r="H57" s="366"/>
      <c r="I57" s="366"/>
      <c r="J57" s="366"/>
      <c r="K57" s="365"/>
      <c r="L57" s="363"/>
      <c r="M57" s="367"/>
      <c r="N57" s="363"/>
      <c r="O57" s="368"/>
      <c r="P57" s="363"/>
      <c r="Q57" s="366"/>
      <c r="S57" s="1077">
        <f t="shared" si="0"/>
        <v>0</v>
      </c>
    </row>
    <row r="58" spans="2:19" ht="18">
      <c r="B58" s="363"/>
      <c r="C58" s="364"/>
      <c r="D58" s="363"/>
      <c r="E58" s="365"/>
      <c r="F58" s="363"/>
      <c r="G58" s="366"/>
      <c r="H58" s="366"/>
      <c r="I58" s="366"/>
      <c r="J58" s="366"/>
      <c r="K58" s="365"/>
      <c r="L58" s="363"/>
      <c r="M58" s="367"/>
      <c r="N58" s="363"/>
      <c r="O58" s="368"/>
      <c r="P58" s="363"/>
      <c r="Q58" s="366"/>
      <c r="S58" s="1077">
        <f t="shared" si="0"/>
        <v>0</v>
      </c>
    </row>
    <row r="59" spans="2:19" ht="18">
      <c r="B59" s="363"/>
      <c r="C59" s="364"/>
      <c r="D59" s="363"/>
      <c r="E59" s="365"/>
      <c r="F59" s="363"/>
      <c r="G59" s="366"/>
      <c r="H59" s="366"/>
      <c r="I59" s="366"/>
      <c r="J59" s="366"/>
      <c r="K59" s="365"/>
      <c r="L59" s="363"/>
      <c r="M59" s="367"/>
      <c r="N59" s="363"/>
      <c r="O59" s="368"/>
      <c r="P59" s="363"/>
      <c r="Q59" s="366"/>
      <c r="S59" s="1077">
        <f t="shared" si="0"/>
        <v>0</v>
      </c>
    </row>
    <row r="60" spans="2:19" ht="18">
      <c r="B60" s="363"/>
      <c r="C60" s="364"/>
      <c r="D60" s="363"/>
      <c r="E60" s="365"/>
      <c r="F60" s="363"/>
      <c r="G60" s="366"/>
      <c r="H60" s="366"/>
      <c r="I60" s="366"/>
      <c r="J60" s="366"/>
      <c r="K60" s="365"/>
      <c r="L60" s="363"/>
      <c r="M60" s="367"/>
      <c r="N60" s="363"/>
      <c r="O60" s="368"/>
      <c r="P60" s="363"/>
      <c r="Q60" s="366"/>
      <c r="S60" s="1077">
        <f t="shared" si="0"/>
        <v>0</v>
      </c>
    </row>
    <row r="61" spans="2:19" ht="18">
      <c r="B61" s="363"/>
      <c r="C61" s="364"/>
      <c r="D61" s="363"/>
      <c r="E61" s="365"/>
      <c r="F61" s="363"/>
      <c r="G61" s="366"/>
      <c r="H61" s="366"/>
      <c r="I61" s="366"/>
      <c r="J61" s="366"/>
      <c r="K61" s="365"/>
      <c r="L61" s="363"/>
      <c r="M61" s="367"/>
      <c r="N61" s="363"/>
      <c r="O61" s="368"/>
      <c r="P61" s="363"/>
      <c r="Q61" s="366"/>
      <c r="S61" s="1077">
        <f t="shared" si="0"/>
        <v>0</v>
      </c>
    </row>
    <row r="62" spans="2:19" ht="18">
      <c r="B62" s="363"/>
      <c r="C62" s="364"/>
      <c r="D62" s="363"/>
      <c r="E62" s="365"/>
      <c r="F62" s="363"/>
      <c r="G62" s="366"/>
      <c r="H62" s="366"/>
      <c r="I62" s="366"/>
      <c r="J62" s="366"/>
      <c r="K62" s="365"/>
      <c r="L62" s="363"/>
      <c r="M62" s="367"/>
      <c r="N62" s="363"/>
      <c r="O62" s="368"/>
      <c r="P62" s="363"/>
      <c r="Q62" s="366"/>
      <c r="S62" s="1077">
        <f t="shared" si="0"/>
        <v>0</v>
      </c>
    </row>
    <row r="63" spans="2:19" ht="18">
      <c r="B63" s="363"/>
      <c r="C63" s="364"/>
      <c r="D63" s="363"/>
      <c r="E63" s="365"/>
      <c r="F63" s="363"/>
      <c r="G63" s="366"/>
      <c r="H63" s="366"/>
      <c r="I63" s="366"/>
      <c r="J63" s="366"/>
      <c r="K63" s="365"/>
      <c r="L63" s="363"/>
      <c r="M63" s="367"/>
      <c r="N63" s="363"/>
      <c r="O63" s="368"/>
      <c r="P63" s="363"/>
      <c r="Q63" s="366"/>
      <c r="S63" s="1077">
        <f t="shared" si="0"/>
        <v>0</v>
      </c>
    </row>
    <row r="64" spans="2:19" ht="18">
      <c r="B64" s="363"/>
      <c r="C64" s="364"/>
      <c r="D64" s="363"/>
      <c r="E64" s="365"/>
      <c r="F64" s="363"/>
      <c r="G64" s="366"/>
      <c r="H64" s="366"/>
      <c r="I64" s="366"/>
      <c r="J64" s="366"/>
      <c r="K64" s="365"/>
      <c r="L64" s="363"/>
      <c r="M64" s="367"/>
      <c r="N64" s="363"/>
      <c r="O64" s="368"/>
      <c r="P64" s="363"/>
      <c r="Q64" s="366"/>
      <c r="S64" s="1077">
        <f t="shared" si="0"/>
        <v>0</v>
      </c>
    </row>
    <row r="65" spans="2:19" ht="18">
      <c r="B65" s="363"/>
      <c r="C65" s="364"/>
      <c r="D65" s="363"/>
      <c r="E65" s="365"/>
      <c r="F65" s="363"/>
      <c r="G65" s="366"/>
      <c r="H65" s="366"/>
      <c r="I65" s="366"/>
      <c r="J65" s="366"/>
      <c r="K65" s="365"/>
      <c r="L65" s="363"/>
      <c r="M65" s="367"/>
      <c r="N65" s="363"/>
      <c r="O65" s="368"/>
      <c r="P65" s="363"/>
      <c r="Q65" s="366"/>
      <c r="S65" s="1077">
        <f t="shared" si="0"/>
        <v>0</v>
      </c>
    </row>
    <row r="66" spans="2:19" ht="18">
      <c r="B66" s="363"/>
      <c r="C66" s="364"/>
      <c r="D66" s="363"/>
      <c r="E66" s="365"/>
      <c r="F66" s="363"/>
      <c r="G66" s="366"/>
      <c r="H66" s="366"/>
      <c r="I66" s="366"/>
      <c r="J66" s="366"/>
      <c r="K66" s="365"/>
      <c r="L66" s="363"/>
      <c r="M66" s="367"/>
      <c r="N66" s="363"/>
      <c r="O66" s="368"/>
      <c r="P66" s="363"/>
      <c r="Q66" s="366"/>
      <c r="S66" s="1077">
        <f t="shared" si="0"/>
        <v>0</v>
      </c>
    </row>
    <row r="67" spans="2:19" ht="18">
      <c r="B67" s="363"/>
      <c r="C67" s="364"/>
      <c r="D67" s="363"/>
      <c r="E67" s="365"/>
      <c r="F67" s="363"/>
      <c r="G67" s="366"/>
      <c r="H67" s="366"/>
      <c r="I67" s="366"/>
      <c r="J67" s="366"/>
      <c r="K67" s="365"/>
      <c r="L67" s="363"/>
      <c r="M67" s="367"/>
      <c r="N67" s="363"/>
      <c r="O67" s="368"/>
      <c r="P67" s="363"/>
      <c r="Q67" s="366"/>
      <c r="S67" s="1077">
        <f t="shared" si="0"/>
        <v>0</v>
      </c>
    </row>
    <row r="68" spans="2:19" ht="18">
      <c r="B68" s="363"/>
      <c r="C68" s="364"/>
      <c r="D68" s="363"/>
      <c r="E68" s="365"/>
      <c r="F68" s="363"/>
      <c r="G68" s="366"/>
      <c r="H68" s="366"/>
      <c r="I68" s="366"/>
      <c r="J68" s="366"/>
      <c r="K68" s="365"/>
      <c r="L68" s="363"/>
      <c r="M68" s="367"/>
      <c r="N68" s="363"/>
      <c r="O68" s="368"/>
      <c r="P68" s="363"/>
      <c r="Q68" s="366"/>
      <c r="S68" s="1077">
        <f t="shared" si="0"/>
        <v>0</v>
      </c>
    </row>
    <row r="69" spans="2:19" ht="18">
      <c r="B69" s="363"/>
      <c r="C69" s="364"/>
      <c r="D69" s="363"/>
      <c r="E69" s="365"/>
      <c r="F69" s="363"/>
      <c r="G69" s="366"/>
      <c r="H69" s="366"/>
      <c r="I69" s="366"/>
      <c r="J69" s="366"/>
      <c r="K69" s="365"/>
      <c r="L69" s="363"/>
      <c r="M69" s="367"/>
      <c r="N69" s="363"/>
      <c r="O69" s="368"/>
      <c r="P69" s="363"/>
      <c r="Q69" s="366"/>
      <c r="S69" s="1077">
        <f t="shared" si="0"/>
        <v>0</v>
      </c>
    </row>
    <row r="70" spans="2:19" ht="18">
      <c r="B70" s="363"/>
      <c r="C70" s="364"/>
      <c r="D70" s="363"/>
      <c r="E70" s="365"/>
      <c r="F70" s="363"/>
      <c r="G70" s="366"/>
      <c r="H70" s="366"/>
      <c r="I70" s="366"/>
      <c r="J70" s="366"/>
      <c r="K70" s="365"/>
      <c r="L70" s="363"/>
      <c r="M70" s="367"/>
      <c r="N70" s="363"/>
      <c r="O70" s="368"/>
      <c r="P70" s="363"/>
      <c r="Q70" s="366"/>
      <c r="S70" s="1077">
        <f t="shared" si="0"/>
        <v>0</v>
      </c>
    </row>
    <row r="71" spans="2:19" ht="18">
      <c r="B71" s="363"/>
      <c r="C71" s="364"/>
      <c r="D71" s="363"/>
      <c r="E71" s="365"/>
      <c r="F71" s="363"/>
      <c r="G71" s="366"/>
      <c r="H71" s="366"/>
      <c r="I71" s="366"/>
      <c r="J71" s="366"/>
      <c r="K71" s="365"/>
      <c r="L71" s="363"/>
      <c r="M71" s="367"/>
      <c r="N71" s="363"/>
      <c r="O71" s="368"/>
      <c r="P71" s="363"/>
      <c r="Q71" s="366"/>
      <c r="S71" s="1077">
        <f t="shared" si="0"/>
        <v>0</v>
      </c>
    </row>
    <row r="72" spans="2:19" ht="18">
      <c r="B72" s="363"/>
      <c r="C72" s="364"/>
      <c r="D72" s="363"/>
      <c r="E72" s="365"/>
      <c r="F72" s="363"/>
      <c r="G72" s="366"/>
      <c r="H72" s="366"/>
      <c r="I72" s="366"/>
      <c r="J72" s="366"/>
      <c r="K72" s="365"/>
      <c r="L72" s="363"/>
      <c r="M72" s="367"/>
      <c r="N72" s="363"/>
      <c r="O72" s="368"/>
      <c r="P72" s="363"/>
      <c r="Q72" s="366"/>
      <c r="S72" s="1077">
        <f t="shared" si="0"/>
        <v>0</v>
      </c>
    </row>
    <row r="73" spans="2:19" ht="18">
      <c r="B73" s="363"/>
      <c r="C73" s="364"/>
      <c r="D73" s="363"/>
      <c r="E73" s="365"/>
      <c r="F73" s="363"/>
      <c r="G73" s="366"/>
      <c r="H73" s="366"/>
      <c r="I73" s="366"/>
      <c r="J73" s="366"/>
      <c r="K73" s="365"/>
      <c r="L73" s="363"/>
      <c r="M73" s="367"/>
      <c r="N73" s="363"/>
      <c r="O73" s="368"/>
      <c r="P73" s="363"/>
      <c r="Q73" s="366"/>
      <c r="S73" s="1077">
        <f t="shared" si="0"/>
        <v>0</v>
      </c>
    </row>
    <row r="74" spans="2:19" ht="18">
      <c r="B74" s="363"/>
      <c r="C74" s="364"/>
      <c r="D74" s="363"/>
      <c r="E74" s="365"/>
      <c r="F74" s="363"/>
      <c r="G74" s="366"/>
      <c r="H74" s="366"/>
      <c r="I74" s="366"/>
      <c r="J74" s="366"/>
      <c r="K74" s="365"/>
      <c r="L74" s="363"/>
      <c r="M74" s="367"/>
      <c r="N74" s="363"/>
      <c r="O74" s="368"/>
      <c r="P74" s="363"/>
      <c r="Q74" s="366"/>
      <c r="S74" s="1077">
        <f t="shared" si="0"/>
        <v>0</v>
      </c>
    </row>
    <row r="75" spans="2:19" ht="18">
      <c r="B75" s="363"/>
      <c r="C75" s="364"/>
      <c r="D75" s="363"/>
      <c r="E75" s="365"/>
      <c r="F75" s="363"/>
      <c r="G75" s="366"/>
      <c r="H75" s="366"/>
      <c r="I75" s="366"/>
      <c r="J75" s="366"/>
      <c r="K75" s="365"/>
      <c r="L75" s="363"/>
      <c r="M75" s="367"/>
      <c r="N75" s="363"/>
      <c r="O75" s="368"/>
      <c r="P75" s="363"/>
      <c r="Q75" s="366"/>
      <c r="S75" s="1077">
        <f t="shared" si="0"/>
        <v>0</v>
      </c>
    </row>
    <row r="76" spans="2:19" ht="18">
      <c r="B76" s="363"/>
      <c r="C76" s="364"/>
      <c r="D76" s="363"/>
      <c r="E76" s="365"/>
      <c r="F76" s="363"/>
      <c r="G76" s="366"/>
      <c r="H76" s="366"/>
      <c r="I76" s="366"/>
      <c r="J76" s="366"/>
      <c r="K76" s="365"/>
      <c r="L76" s="363"/>
      <c r="M76" s="367"/>
      <c r="N76" s="363"/>
      <c r="O76" s="368"/>
      <c r="P76" s="363"/>
      <c r="Q76" s="366"/>
      <c r="S76" s="1077">
        <f t="shared" si="0"/>
        <v>0</v>
      </c>
    </row>
    <row r="77" spans="2:19" ht="18">
      <c r="B77" s="363"/>
      <c r="C77" s="364"/>
      <c r="D77" s="363"/>
      <c r="E77" s="365"/>
      <c r="F77" s="363"/>
      <c r="G77" s="366"/>
      <c r="H77" s="366"/>
      <c r="I77" s="366"/>
      <c r="J77" s="366"/>
      <c r="K77" s="365"/>
      <c r="L77" s="363"/>
      <c r="M77" s="367"/>
      <c r="N77" s="363"/>
      <c r="O77" s="368"/>
      <c r="P77" s="363"/>
      <c r="Q77" s="366"/>
      <c r="S77" s="1077">
        <f t="shared" ref="S77:S140" si="1">SUMIF($B$12:$B$362,B77,$I$12:$I$362)</f>
        <v>0</v>
      </c>
    </row>
    <row r="78" spans="2:19" ht="18">
      <c r="B78" s="363"/>
      <c r="C78" s="364"/>
      <c r="D78" s="363"/>
      <c r="E78" s="365"/>
      <c r="F78" s="363"/>
      <c r="G78" s="366"/>
      <c r="H78" s="366"/>
      <c r="I78" s="366"/>
      <c r="J78" s="366"/>
      <c r="K78" s="365"/>
      <c r="L78" s="363"/>
      <c r="M78" s="367"/>
      <c r="N78" s="363"/>
      <c r="O78" s="368"/>
      <c r="P78" s="363"/>
      <c r="Q78" s="366"/>
      <c r="S78" s="1077">
        <f t="shared" si="1"/>
        <v>0</v>
      </c>
    </row>
    <row r="79" spans="2:19" ht="18">
      <c r="B79" s="363"/>
      <c r="C79" s="364"/>
      <c r="D79" s="363"/>
      <c r="E79" s="365"/>
      <c r="F79" s="363"/>
      <c r="G79" s="366"/>
      <c r="H79" s="366"/>
      <c r="I79" s="366"/>
      <c r="J79" s="366"/>
      <c r="K79" s="365"/>
      <c r="L79" s="363"/>
      <c r="M79" s="367"/>
      <c r="N79" s="363"/>
      <c r="O79" s="368"/>
      <c r="P79" s="363"/>
      <c r="Q79" s="366"/>
      <c r="S79" s="1077">
        <f t="shared" si="1"/>
        <v>0</v>
      </c>
    </row>
    <row r="80" spans="2:19" ht="18">
      <c r="B80" s="363"/>
      <c r="C80" s="364"/>
      <c r="D80" s="363"/>
      <c r="E80" s="365"/>
      <c r="F80" s="363"/>
      <c r="G80" s="366"/>
      <c r="H80" s="366"/>
      <c r="I80" s="366"/>
      <c r="J80" s="366"/>
      <c r="K80" s="365"/>
      <c r="L80" s="363"/>
      <c r="M80" s="367"/>
      <c r="N80" s="363"/>
      <c r="O80" s="368"/>
      <c r="P80" s="363"/>
      <c r="Q80" s="366"/>
      <c r="S80" s="1077">
        <f t="shared" si="1"/>
        <v>0</v>
      </c>
    </row>
    <row r="81" spans="2:19" ht="18">
      <c r="B81" s="363"/>
      <c r="C81" s="364"/>
      <c r="D81" s="363"/>
      <c r="E81" s="365"/>
      <c r="F81" s="363"/>
      <c r="G81" s="366"/>
      <c r="H81" s="366"/>
      <c r="I81" s="366"/>
      <c r="J81" s="366"/>
      <c r="K81" s="365"/>
      <c r="L81" s="363"/>
      <c r="M81" s="367"/>
      <c r="N81" s="363"/>
      <c r="O81" s="368"/>
      <c r="P81" s="363"/>
      <c r="Q81" s="366"/>
      <c r="S81" s="1077">
        <f t="shared" si="1"/>
        <v>0</v>
      </c>
    </row>
    <row r="82" spans="2:19" ht="18">
      <c r="B82" s="363"/>
      <c r="C82" s="364"/>
      <c r="D82" s="363"/>
      <c r="E82" s="365"/>
      <c r="F82" s="363"/>
      <c r="G82" s="366"/>
      <c r="H82" s="366"/>
      <c r="I82" s="366"/>
      <c r="J82" s="366"/>
      <c r="K82" s="365"/>
      <c r="L82" s="363"/>
      <c r="M82" s="367"/>
      <c r="N82" s="363"/>
      <c r="O82" s="368"/>
      <c r="P82" s="363"/>
      <c r="Q82" s="366"/>
      <c r="S82" s="1077">
        <f t="shared" si="1"/>
        <v>0</v>
      </c>
    </row>
    <row r="83" spans="2:19" ht="18">
      <c r="B83" s="363"/>
      <c r="C83" s="364"/>
      <c r="D83" s="363"/>
      <c r="E83" s="365"/>
      <c r="F83" s="363"/>
      <c r="G83" s="366"/>
      <c r="H83" s="366"/>
      <c r="I83" s="366"/>
      <c r="J83" s="366"/>
      <c r="K83" s="365"/>
      <c r="L83" s="363"/>
      <c r="M83" s="367"/>
      <c r="N83" s="363"/>
      <c r="O83" s="368"/>
      <c r="P83" s="363"/>
      <c r="Q83" s="366"/>
      <c r="S83" s="1077">
        <f t="shared" si="1"/>
        <v>0</v>
      </c>
    </row>
    <row r="84" spans="2:19" ht="18">
      <c r="B84" s="363"/>
      <c r="C84" s="364"/>
      <c r="D84" s="363"/>
      <c r="E84" s="365"/>
      <c r="F84" s="363"/>
      <c r="G84" s="366"/>
      <c r="H84" s="366"/>
      <c r="I84" s="366"/>
      <c r="J84" s="366"/>
      <c r="K84" s="365"/>
      <c r="L84" s="363"/>
      <c r="M84" s="367"/>
      <c r="N84" s="363"/>
      <c r="O84" s="368"/>
      <c r="P84" s="363"/>
      <c r="Q84" s="366"/>
      <c r="S84" s="1077">
        <f t="shared" si="1"/>
        <v>0</v>
      </c>
    </row>
    <row r="85" spans="2:19" ht="18">
      <c r="B85" s="363"/>
      <c r="C85" s="364"/>
      <c r="D85" s="363"/>
      <c r="E85" s="365"/>
      <c r="F85" s="363"/>
      <c r="G85" s="366"/>
      <c r="H85" s="366"/>
      <c r="I85" s="366"/>
      <c r="J85" s="366"/>
      <c r="K85" s="365"/>
      <c r="L85" s="363"/>
      <c r="M85" s="367"/>
      <c r="N85" s="363"/>
      <c r="O85" s="368"/>
      <c r="P85" s="363"/>
      <c r="Q85" s="366"/>
      <c r="S85" s="1077">
        <f t="shared" si="1"/>
        <v>0</v>
      </c>
    </row>
    <row r="86" spans="2:19" ht="18">
      <c r="B86" s="363"/>
      <c r="C86" s="364"/>
      <c r="D86" s="363"/>
      <c r="E86" s="365"/>
      <c r="F86" s="363"/>
      <c r="G86" s="366"/>
      <c r="H86" s="366"/>
      <c r="I86" s="366"/>
      <c r="J86" s="366"/>
      <c r="K86" s="365"/>
      <c r="L86" s="363"/>
      <c r="M86" s="367"/>
      <c r="N86" s="363"/>
      <c r="O86" s="368"/>
      <c r="P86" s="363"/>
      <c r="Q86" s="366"/>
      <c r="S86" s="1077">
        <f t="shared" si="1"/>
        <v>0</v>
      </c>
    </row>
    <row r="87" spans="2:19" ht="18">
      <c r="B87" s="363"/>
      <c r="C87" s="364"/>
      <c r="D87" s="363"/>
      <c r="E87" s="365"/>
      <c r="F87" s="363"/>
      <c r="G87" s="366"/>
      <c r="H87" s="366"/>
      <c r="I87" s="366"/>
      <c r="J87" s="366"/>
      <c r="K87" s="365"/>
      <c r="L87" s="363"/>
      <c r="M87" s="367"/>
      <c r="N87" s="363"/>
      <c r="O87" s="368"/>
      <c r="P87" s="363"/>
      <c r="Q87" s="366"/>
      <c r="S87" s="1077">
        <f t="shared" si="1"/>
        <v>0</v>
      </c>
    </row>
    <row r="88" spans="2:19" ht="18">
      <c r="B88" s="363"/>
      <c r="C88" s="364"/>
      <c r="D88" s="363"/>
      <c r="E88" s="365"/>
      <c r="F88" s="363"/>
      <c r="G88" s="366"/>
      <c r="H88" s="366"/>
      <c r="I88" s="366"/>
      <c r="J88" s="366"/>
      <c r="K88" s="365"/>
      <c r="L88" s="363"/>
      <c r="M88" s="367"/>
      <c r="N88" s="363"/>
      <c r="O88" s="368"/>
      <c r="P88" s="363"/>
      <c r="Q88" s="366"/>
      <c r="S88" s="1077">
        <f t="shared" si="1"/>
        <v>0</v>
      </c>
    </row>
    <row r="89" spans="2:19" ht="18">
      <c r="B89" s="363"/>
      <c r="C89" s="364"/>
      <c r="D89" s="363"/>
      <c r="E89" s="365"/>
      <c r="F89" s="363"/>
      <c r="G89" s="366"/>
      <c r="H89" s="366"/>
      <c r="I89" s="366"/>
      <c r="J89" s="366"/>
      <c r="K89" s="365"/>
      <c r="L89" s="363"/>
      <c r="M89" s="367"/>
      <c r="N89" s="363"/>
      <c r="O89" s="368"/>
      <c r="P89" s="363"/>
      <c r="Q89" s="366"/>
      <c r="S89" s="1077">
        <f t="shared" si="1"/>
        <v>0</v>
      </c>
    </row>
    <row r="90" spans="2:19" ht="18">
      <c r="B90" s="363"/>
      <c r="C90" s="364"/>
      <c r="D90" s="363"/>
      <c r="E90" s="365"/>
      <c r="F90" s="363"/>
      <c r="G90" s="366"/>
      <c r="H90" s="366"/>
      <c r="I90" s="366"/>
      <c r="J90" s="366"/>
      <c r="K90" s="365"/>
      <c r="L90" s="363"/>
      <c r="M90" s="367"/>
      <c r="N90" s="363"/>
      <c r="O90" s="368"/>
      <c r="P90" s="363"/>
      <c r="Q90" s="366"/>
      <c r="S90" s="1077">
        <f t="shared" si="1"/>
        <v>0</v>
      </c>
    </row>
    <row r="91" spans="2:19" ht="18">
      <c r="B91" s="363"/>
      <c r="C91" s="364"/>
      <c r="D91" s="363"/>
      <c r="E91" s="365"/>
      <c r="F91" s="363"/>
      <c r="G91" s="366"/>
      <c r="H91" s="366"/>
      <c r="I91" s="366"/>
      <c r="J91" s="366"/>
      <c r="K91" s="365"/>
      <c r="L91" s="363"/>
      <c r="M91" s="367"/>
      <c r="N91" s="363"/>
      <c r="O91" s="368"/>
      <c r="P91" s="363"/>
      <c r="Q91" s="366"/>
      <c r="S91" s="1077">
        <f t="shared" si="1"/>
        <v>0</v>
      </c>
    </row>
    <row r="92" spans="2:19" ht="18">
      <c r="B92" s="363"/>
      <c r="C92" s="364"/>
      <c r="D92" s="363"/>
      <c r="E92" s="365"/>
      <c r="F92" s="363"/>
      <c r="G92" s="366"/>
      <c r="H92" s="366"/>
      <c r="I92" s="366"/>
      <c r="J92" s="366"/>
      <c r="K92" s="365"/>
      <c r="L92" s="363"/>
      <c r="M92" s="367"/>
      <c r="N92" s="363"/>
      <c r="O92" s="368"/>
      <c r="P92" s="363"/>
      <c r="Q92" s="366"/>
      <c r="S92" s="1077">
        <f t="shared" si="1"/>
        <v>0</v>
      </c>
    </row>
    <row r="93" spans="2:19" ht="18">
      <c r="B93" s="363"/>
      <c r="C93" s="364"/>
      <c r="D93" s="363"/>
      <c r="E93" s="365"/>
      <c r="F93" s="363"/>
      <c r="G93" s="366"/>
      <c r="H93" s="366"/>
      <c r="I93" s="366"/>
      <c r="J93" s="366"/>
      <c r="K93" s="365"/>
      <c r="L93" s="363"/>
      <c r="M93" s="367"/>
      <c r="N93" s="363"/>
      <c r="O93" s="368"/>
      <c r="P93" s="363"/>
      <c r="Q93" s="366"/>
      <c r="S93" s="1077">
        <f t="shared" si="1"/>
        <v>0</v>
      </c>
    </row>
    <row r="94" spans="2:19" ht="18">
      <c r="B94" s="363"/>
      <c r="C94" s="364"/>
      <c r="D94" s="363"/>
      <c r="E94" s="365"/>
      <c r="F94" s="363"/>
      <c r="G94" s="366"/>
      <c r="H94" s="366"/>
      <c r="I94" s="366"/>
      <c r="J94" s="366"/>
      <c r="K94" s="365"/>
      <c r="L94" s="363"/>
      <c r="M94" s="367"/>
      <c r="N94" s="363"/>
      <c r="O94" s="368"/>
      <c r="P94" s="363"/>
      <c r="Q94" s="366"/>
      <c r="S94" s="1077">
        <f t="shared" si="1"/>
        <v>0</v>
      </c>
    </row>
    <row r="95" spans="2:19" ht="18">
      <c r="B95" s="363"/>
      <c r="C95" s="364"/>
      <c r="D95" s="363"/>
      <c r="E95" s="365"/>
      <c r="F95" s="363"/>
      <c r="G95" s="366"/>
      <c r="H95" s="366"/>
      <c r="I95" s="366"/>
      <c r="J95" s="366"/>
      <c r="K95" s="365"/>
      <c r="L95" s="363"/>
      <c r="M95" s="367"/>
      <c r="N95" s="363"/>
      <c r="O95" s="368"/>
      <c r="P95" s="363"/>
      <c r="Q95" s="366"/>
      <c r="S95" s="1077">
        <f t="shared" si="1"/>
        <v>0</v>
      </c>
    </row>
    <row r="96" spans="2:19" ht="18">
      <c r="B96" s="363"/>
      <c r="C96" s="364"/>
      <c r="D96" s="363"/>
      <c r="E96" s="365"/>
      <c r="F96" s="363"/>
      <c r="G96" s="366"/>
      <c r="H96" s="366"/>
      <c r="I96" s="366"/>
      <c r="J96" s="366"/>
      <c r="K96" s="365"/>
      <c r="L96" s="363"/>
      <c r="M96" s="367"/>
      <c r="N96" s="363"/>
      <c r="O96" s="368"/>
      <c r="P96" s="363"/>
      <c r="Q96" s="366"/>
      <c r="S96" s="1077">
        <f t="shared" si="1"/>
        <v>0</v>
      </c>
    </row>
    <row r="97" spans="2:19" ht="18">
      <c r="B97" s="363"/>
      <c r="C97" s="364"/>
      <c r="D97" s="363"/>
      <c r="E97" s="365"/>
      <c r="F97" s="363"/>
      <c r="G97" s="366"/>
      <c r="H97" s="366"/>
      <c r="I97" s="366"/>
      <c r="J97" s="366"/>
      <c r="K97" s="365"/>
      <c r="L97" s="363"/>
      <c r="M97" s="367"/>
      <c r="N97" s="363"/>
      <c r="O97" s="368"/>
      <c r="P97" s="363"/>
      <c r="Q97" s="366"/>
      <c r="S97" s="1077">
        <f t="shared" si="1"/>
        <v>0</v>
      </c>
    </row>
    <row r="98" spans="2:19" ht="18">
      <c r="B98" s="363"/>
      <c r="C98" s="364"/>
      <c r="D98" s="363"/>
      <c r="E98" s="365"/>
      <c r="F98" s="363"/>
      <c r="G98" s="366"/>
      <c r="H98" s="366"/>
      <c r="I98" s="366"/>
      <c r="J98" s="366"/>
      <c r="K98" s="365"/>
      <c r="L98" s="363"/>
      <c r="M98" s="367"/>
      <c r="N98" s="363"/>
      <c r="O98" s="368"/>
      <c r="P98" s="363"/>
      <c r="Q98" s="366"/>
      <c r="S98" s="1077">
        <f t="shared" si="1"/>
        <v>0</v>
      </c>
    </row>
    <row r="99" spans="2:19" ht="18">
      <c r="B99" s="363"/>
      <c r="C99" s="364"/>
      <c r="D99" s="363"/>
      <c r="E99" s="365"/>
      <c r="F99" s="363"/>
      <c r="G99" s="366"/>
      <c r="H99" s="366"/>
      <c r="I99" s="366"/>
      <c r="J99" s="366"/>
      <c r="K99" s="365"/>
      <c r="L99" s="363"/>
      <c r="M99" s="367"/>
      <c r="N99" s="363"/>
      <c r="O99" s="368"/>
      <c r="P99" s="363"/>
      <c r="Q99" s="366"/>
      <c r="S99" s="1077">
        <f t="shared" si="1"/>
        <v>0</v>
      </c>
    </row>
    <row r="100" spans="2:19" ht="18">
      <c r="B100" s="363"/>
      <c r="C100" s="364"/>
      <c r="D100" s="363"/>
      <c r="E100" s="365"/>
      <c r="F100" s="363"/>
      <c r="G100" s="366"/>
      <c r="H100" s="366"/>
      <c r="I100" s="366"/>
      <c r="J100" s="366"/>
      <c r="K100" s="365"/>
      <c r="L100" s="363"/>
      <c r="M100" s="367"/>
      <c r="N100" s="363"/>
      <c r="O100" s="368"/>
      <c r="P100" s="363"/>
      <c r="Q100" s="366"/>
      <c r="S100" s="1077">
        <f t="shared" si="1"/>
        <v>0</v>
      </c>
    </row>
    <row r="101" spans="2:19" ht="18">
      <c r="B101" s="363"/>
      <c r="C101" s="364"/>
      <c r="D101" s="363"/>
      <c r="E101" s="365"/>
      <c r="F101" s="363"/>
      <c r="G101" s="366"/>
      <c r="H101" s="366"/>
      <c r="I101" s="366"/>
      <c r="J101" s="366"/>
      <c r="K101" s="365"/>
      <c r="L101" s="363"/>
      <c r="M101" s="367"/>
      <c r="N101" s="363"/>
      <c r="O101" s="368"/>
      <c r="P101" s="363"/>
      <c r="Q101" s="366"/>
      <c r="S101" s="1077">
        <f t="shared" si="1"/>
        <v>0</v>
      </c>
    </row>
    <row r="102" spans="2:19" ht="18">
      <c r="B102" s="363"/>
      <c r="C102" s="364"/>
      <c r="D102" s="363"/>
      <c r="E102" s="365"/>
      <c r="F102" s="363"/>
      <c r="G102" s="366"/>
      <c r="H102" s="366"/>
      <c r="I102" s="366"/>
      <c r="J102" s="366"/>
      <c r="K102" s="365"/>
      <c r="L102" s="363"/>
      <c r="M102" s="367"/>
      <c r="N102" s="363"/>
      <c r="O102" s="368"/>
      <c r="P102" s="363"/>
      <c r="Q102" s="366"/>
      <c r="S102" s="1077">
        <f t="shared" si="1"/>
        <v>0</v>
      </c>
    </row>
    <row r="103" spans="2:19" ht="18">
      <c r="B103" s="363"/>
      <c r="C103" s="364"/>
      <c r="D103" s="363"/>
      <c r="E103" s="365"/>
      <c r="F103" s="363"/>
      <c r="G103" s="366"/>
      <c r="H103" s="366"/>
      <c r="I103" s="366"/>
      <c r="J103" s="366"/>
      <c r="K103" s="365"/>
      <c r="L103" s="363"/>
      <c r="M103" s="367"/>
      <c r="N103" s="363"/>
      <c r="O103" s="368"/>
      <c r="P103" s="363"/>
      <c r="Q103" s="366"/>
      <c r="S103" s="1077">
        <f t="shared" si="1"/>
        <v>0</v>
      </c>
    </row>
    <row r="104" spans="2:19" ht="18">
      <c r="B104" s="363"/>
      <c r="C104" s="364"/>
      <c r="D104" s="363"/>
      <c r="E104" s="365"/>
      <c r="F104" s="363"/>
      <c r="G104" s="366"/>
      <c r="H104" s="366"/>
      <c r="I104" s="366"/>
      <c r="J104" s="366"/>
      <c r="K104" s="365"/>
      <c r="L104" s="363"/>
      <c r="M104" s="367"/>
      <c r="N104" s="363"/>
      <c r="O104" s="368"/>
      <c r="P104" s="363"/>
      <c r="Q104" s="366"/>
      <c r="S104" s="1077">
        <f t="shared" si="1"/>
        <v>0</v>
      </c>
    </row>
    <row r="105" spans="2:19" ht="18">
      <c r="B105" s="363"/>
      <c r="C105" s="364"/>
      <c r="D105" s="363"/>
      <c r="E105" s="365"/>
      <c r="F105" s="363"/>
      <c r="G105" s="366"/>
      <c r="H105" s="366"/>
      <c r="I105" s="366"/>
      <c r="J105" s="366"/>
      <c r="K105" s="365"/>
      <c r="L105" s="363"/>
      <c r="M105" s="367"/>
      <c r="N105" s="363"/>
      <c r="O105" s="368"/>
      <c r="P105" s="363"/>
      <c r="Q105" s="366"/>
      <c r="S105" s="1077">
        <f t="shared" si="1"/>
        <v>0</v>
      </c>
    </row>
    <row r="106" spans="2:19" ht="18">
      <c r="B106" s="363"/>
      <c r="C106" s="364"/>
      <c r="D106" s="363"/>
      <c r="E106" s="365"/>
      <c r="F106" s="363"/>
      <c r="G106" s="366"/>
      <c r="H106" s="366"/>
      <c r="I106" s="366"/>
      <c r="J106" s="366"/>
      <c r="K106" s="365"/>
      <c r="L106" s="363"/>
      <c r="M106" s="367"/>
      <c r="N106" s="363"/>
      <c r="O106" s="368"/>
      <c r="P106" s="363"/>
      <c r="Q106" s="366"/>
      <c r="S106" s="1077">
        <f t="shared" si="1"/>
        <v>0</v>
      </c>
    </row>
    <row r="107" spans="2:19" ht="18">
      <c r="B107" s="363"/>
      <c r="C107" s="364"/>
      <c r="D107" s="363"/>
      <c r="E107" s="365"/>
      <c r="F107" s="363"/>
      <c r="G107" s="366"/>
      <c r="H107" s="366"/>
      <c r="I107" s="366"/>
      <c r="J107" s="366"/>
      <c r="K107" s="365"/>
      <c r="L107" s="363"/>
      <c r="M107" s="367"/>
      <c r="N107" s="363"/>
      <c r="O107" s="368"/>
      <c r="P107" s="363"/>
      <c r="Q107" s="366"/>
      <c r="S107" s="1077">
        <f t="shared" si="1"/>
        <v>0</v>
      </c>
    </row>
    <row r="108" spans="2:19" ht="18">
      <c r="B108" s="363"/>
      <c r="C108" s="364"/>
      <c r="D108" s="363"/>
      <c r="E108" s="365"/>
      <c r="F108" s="363"/>
      <c r="G108" s="366"/>
      <c r="H108" s="366"/>
      <c r="I108" s="366"/>
      <c r="J108" s="366"/>
      <c r="K108" s="365"/>
      <c r="L108" s="363"/>
      <c r="M108" s="367"/>
      <c r="N108" s="363"/>
      <c r="O108" s="368"/>
      <c r="P108" s="363"/>
      <c r="Q108" s="366"/>
      <c r="S108" s="1077">
        <f t="shared" si="1"/>
        <v>0</v>
      </c>
    </row>
    <row r="109" spans="2:19" ht="18">
      <c r="B109" s="363"/>
      <c r="C109" s="364"/>
      <c r="D109" s="363"/>
      <c r="E109" s="365"/>
      <c r="F109" s="363"/>
      <c r="G109" s="366"/>
      <c r="H109" s="366"/>
      <c r="I109" s="366"/>
      <c r="J109" s="366"/>
      <c r="K109" s="365"/>
      <c r="L109" s="363"/>
      <c r="M109" s="367"/>
      <c r="N109" s="363"/>
      <c r="O109" s="368"/>
      <c r="P109" s="363"/>
      <c r="Q109" s="366"/>
      <c r="S109" s="1077">
        <f t="shared" si="1"/>
        <v>0</v>
      </c>
    </row>
    <row r="110" spans="2:19" ht="18">
      <c r="B110" s="363"/>
      <c r="C110" s="364"/>
      <c r="D110" s="363"/>
      <c r="E110" s="365"/>
      <c r="F110" s="363"/>
      <c r="G110" s="366"/>
      <c r="H110" s="366"/>
      <c r="I110" s="366"/>
      <c r="J110" s="366"/>
      <c r="K110" s="365"/>
      <c r="L110" s="363"/>
      <c r="M110" s="367"/>
      <c r="N110" s="363"/>
      <c r="O110" s="368"/>
      <c r="P110" s="363"/>
      <c r="Q110" s="366"/>
      <c r="S110" s="1077">
        <f t="shared" si="1"/>
        <v>0</v>
      </c>
    </row>
    <row r="111" spans="2:19" ht="18">
      <c r="B111" s="363"/>
      <c r="C111" s="364"/>
      <c r="D111" s="363"/>
      <c r="E111" s="365"/>
      <c r="F111" s="363"/>
      <c r="G111" s="366"/>
      <c r="H111" s="366"/>
      <c r="I111" s="366"/>
      <c r="J111" s="366"/>
      <c r="K111" s="365"/>
      <c r="L111" s="363"/>
      <c r="M111" s="367"/>
      <c r="N111" s="363"/>
      <c r="O111" s="368"/>
      <c r="P111" s="363"/>
      <c r="Q111" s="366"/>
      <c r="S111" s="1077">
        <f t="shared" si="1"/>
        <v>0</v>
      </c>
    </row>
    <row r="112" spans="2:19" ht="18">
      <c r="B112" s="363"/>
      <c r="C112" s="364"/>
      <c r="D112" s="363"/>
      <c r="E112" s="365"/>
      <c r="F112" s="363"/>
      <c r="G112" s="366"/>
      <c r="H112" s="366"/>
      <c r="I112" s="366"/>
      <c r="J112" s="366"/>
      <c r="K112" s="365"/>
      <c r="L112" s="363"/>
      <c r="M112" s="367"/>
      <c r="N112" s="363"/>
      <c r="O112" s="368"/>
      <c r="P112" s="363"/>
      <c r="Q112" s="366"/>
      <c r="S112" s="1077">
        <f t="shared" si="1"/>
        <v>0</v>
      </c>
    </row>
    <row r="113" spans="2:19" ht="18">
      <c r="B113" s="363"/>
      <c r="C113" s="364"/>
      <c r="D113" s="363"/>
      <c r="E113" s="365"/>
      <c r="F113" s="363"/>
      <c r="G113" s="366"/>
      <c r="H113" s="366"/>
      <c r="I113" s="366"/>
      <c r="J113" s="366"/>
      <c r="K113" s="365"/>
      <c r="L113" s="363"/>
      <c r="M113" s="367"/>
      <c r="N113" s="363"/>
      <c r="O113" s="368"/>
      <c r="P113" s="363"/>
      <c r="Q113" s="366"/>
      <c r="S113" s="1077">
        <f t="shared" si="1"/>
        <v>0</v>
      </c>
    </row>
    <row r="114" spans="2:19" ht="18">
      <c r="B114" s="363"/>
      <c r="C114" s="364"/>
      <c r="D114" s="363"/>
      <c r="E114" s="365"/>
      <c r="F114" s="363"/>
      <c r="G114" s="366"/>
      <c r="H114" s="366"/>
      <c r="I114" s="366"/>
      <c r="J114" s="366"/>
      <c r="K114" s="365"/>
      <c r="L114" s="363"/>
      <c r="M114" s="367"/>
      <c r="N114" s="363"/>
      <c r="O114" s="368"/>
      <c r="P114" s="363"/>
      <c r="Q114" s="366"/>
      <c r="S114" s="1077">
        <f t="shared" si="1"/>
        <v>0</v>
      </c>
    </row>
    <row r="115" spans="2:19" ht="18">
      <c r="B115" s="363"/>
      <c r="C115" s="364"/>
      <c r="D115" s="363"/>
      <c r="E115" s="365"/>
      <c r="F115" s="363"/>
      <c r="G115" s="366"/>
      <c r="H115" s="366"/>
      <c r="I115" s="366"/>
      <c r="J115" s="366"/>
      <c r="K115" s="365"/>
      <c r="L115" s="363"/>
      <c r="M115" s="367"/>
      <c r="N115" s="363"/>
      <c r="O115" s="368"/>
      <c r="P115" s="363"/>
      <c r="Q115" s="366"/>
      <c r="S115" s="1077">
        <f t="shared" si="1"/>
        <v>0</v>
      </c>
    </row>
    <row r="116" spans="2:19" ht="18">
      <c r="B116" s="363"/>
      <c r="C116" s="364"/>
      <c r="D116" s="363"/>
      <c r="E116" s="365"/>
      <c r="F116" s="363"/>
      <c r="G116" s="366"/>
      <c r="H116" s="366"/>
      <c r="I116" s="366"/>
      <c r="J116" s="366"/>
      <c r="K116" s="365"/>
      <c r="L116" s="363"/>
      <c r="M116" s="367"/>
      <c r="N116" s="363"/>
      <c r="O116" s="368"/>
      <c r="P116" s="363"/>
      <c r="Q116" s="366"/>
      <c r="S116" s="1077">
        <f t="shared" si="1"/>
        <v>0</v>
      </c>
    </row>
    <row r="117" spans="2:19" ht="18">
      <c r="B117" s="363"/>
      <c r="C117" s="364"/>
      <c r="D117" s="363"/>
      <c r="E117" s="365"/>
      <c r="F117" s="363"/>
      <c r="G117" s="366"/>
      <c r="H117" s="366"/>
      <c r="I117" s="366"/>
      <c r="J117" s="366"/>
      <c r="K117" s="365"/>
      <c r="L117" s="363"/>
      <c r="M117" s="367"/>
      <c r="N117" s="363"/>
      <c r="O117" s="368"/>
      <c r="P117" s="363"/>
      <c r="Q117" s="366"/>
      <c r="S117" s="1077">
        <f t="shared" si="1"/>
        <v>0</v>
      </c>
    </row>
    <row r="118" spans="2:19" ht="18">
      <c r="B118" s="363"/>
      <c r="C118" s="364"/>
      <c r="D118" s="363"/>
      <c r="E118" s="365"/>
      <c r="F118" s="363"/>
      <c r="G118" s="366"/>
      <c r="H118" s="366"/>
      <c r="I118" s="366"/>
      <c r="J118" s="366"/>
      <c r="K118" s="365"/>
      <c r="L118" s="363"/>
      <c r="M118" s="367"/>
      <c r="N118" s="363"/>
      <c r="O118" s="368"/>
      <c r="P118" s="363"/>
      <c r="Q118" s="366"/>
      <c r="S118" s="1077">
        <f t="shared" si="1"/>
        <v>0</v>
      </c>
    </row>
    <row r="119" spans="2:19" ht="18">
      <c r="B119" s="363"/>
      <c r="C119" s="364"/>
      <c r="D119" s="363"/>
      <c r="E119" s="365"/>
      <c r="F119" s="363"/>
      <c r="G119" s="366"/>
      <c r="H119" s="366"/>
      <c r="I119" s="366"/>
      <c r="J119" s="366"/>
      <c r="K119" s="365"/>
      <c r="L119" s="363"/>
      <c r="M119" s="367"/>
      <c r="N119" s="363"/>
      <c r="O119" s="368"/>
      <c r="P119" s="363"/>
      <c r="Q119" s="366"/>
      <c r="S119" s="1077">
        <f t="shared" si="1"/>
        <v>0</v>
      </c>
    </row>
    <row r="120" spans="2:19" ht="18">
      <c r="B120" s="363"/>
      <c r="C120" s="364"/>
      <c r="D120" s="363"/>
      <c r="E120" s="365"/>
      <c r="F120" s="363"/>
      <c r="G120" s="366"/>
      <c r="H120" s="366"/>
      <c r="I120" s="366"/>
      <c r="J120" s="366"/>
      <c r="K120" s="365"/>
      <c r="L120" s="363"/>
      <c r="M120" s="367"/>
      <c r="N120" s="363"/>
      <c r="O120" s="368"/>
      <c r="P120" s="363"/>
      <c r="Q120" s="366"/>
      <c r="S120" s="1077">
        <f t="shared" si="1"/>
        <v>0</v>
      </c>
    </row>
    <row r="121" spans="2:19" ht="18">
      <c r="B121" s="363"/>
      <c r="C121" s="364"/>
      <c r="D121" s="363"/>
      <c r="E121" s="365"/>
      <c r="F121" s="363"/>
      <c r="G121" s="366"/>
      <c r="H121" s="366"/>
      <c r="I121" s="366"/>
      <c r="J121" s="366"/>
      <c r="K121" s="365"/>
      <c r="L121" s="363"/>
      <c r="M121" s="367"/>
      <c r="N121" s="363"/>
      <c r="O121" s="368"/>
      <c r="P121" s="363"/>
      <c r="Q121" s="366"/>
      <c r="S121" s="1077">
        <f t="shared" si="1"/>
        <v>0</v>
      </c>
    </row>
    <row r="122" spans="2:19" ht="18">
      <c r="B122" s="363"/>
      <c r="C122" s="364"/>
      <c r="D122" s="363"/>
      <c r="E122" s="365"/>
      <c r="F122" s="363"/>
      <c r="G122" s="366"/>
      <c r="H122" s="366"/>
      <c r="I122" s="366"/>
      <c r="J122" s="366"/>
      <c r="K122" s="365"/>
      <c r="L122" s="363"/>
      <c r="M122" s="367"/>
      <c r="N122" s="363"/>
      <c r="O122" s="368"/>
      <c r="P122" s="363"/>
      <c r="Q122" s="366"/>
      <c r="S122" s="1077">
        <f t="shared" si="1"/>
        <v>0</v>
      </c>
    </row>
    <row r="123" spans="2:19" ht="18">
      <c r="B123" s="363"/>
      <c r="C123" s="364"/>
      <c r="D123" s="363"/>
      <c r="E123" s="365"/>
      <c r="F123" s="363"/>
      <c r="G123" s="366"/>
      <c r="H123" s="366"/>
      <c r="I123" s="366"/>
      <c r="J123" s="366"/>
      <c r="K123" s="365"/>
      <c r="L123" s="363"/>
      <c r="M123" s="367"/>
      <c r="N123" s="363"/>
      <c r="O123" s="368"/>
      <c r="P123" s="363"/>
      <c r="Q123" s="366"/>
      <c r="S123" s="1077">
        <f t="shared" si="1"/>
        <v>0</v>
      </c>
    </row>
    <row r="124" spans="2:19" ht="18">
      <c r="B124" s="363"/>
      <c r="C124" s="364"/>
      <c r="D124" s="363"/>
      <c r="E124" s="365"/>
      <c r="F124" s="363"/>
      <c r="G124" s="366"/>
      <c r="H124" s="366"/>
      <c r="I124" s="366"/>
      <c r="J124" s="366"/>
      <c r="K124" s="365"/>
      <c r="L124" s="363"/>
      <c r="M124" s="367"/>
      <c r="N124" s="363"/>
      <c r="O124" s="368"/>
      <c r="P124" s="363"/>
      <c r="Q124" s="366"/>
      <c r="S124" s="1077">
        <f t="shared" si="1"/>
        <v>0</v>
      </c>
    </row>
    <row r="125" spans="2:19" ht="18">
      <c r="B125" s="363"/>
      <c r="C125" s="364"/>
      <c r="D125" s="363"/>
      <c r="E125" s="365"/>
      <c r="F125" s="363"/>
      <c r="G125" s="366"/>
      <c r="H125" s="366"/>
      <c r="I125" s="366"/>
      <c r="J125" s="366"/>
      <c r="K125" s="365"/>
      <c r="L125" s="363"/>
      <c r="M125" s="367"/>
      <c r="N125" s="363"/>
      <c r="O125" s="368"/>
      <c r="P125" s="363"/>
      <c r="Q125" s="366"/>
      <c r="S125" s="1077">
        <f t="shared" si="1"/>
        <v>0</v>
      </c>
    </row>
    <row r="126" spans="2:19" ht="18">
      <c r="B126" s="363"/>
      <c r="C126" s="364"/>
      <c r="D126" s="363"/>
      <c r="E126" s="365"/>
      <c r="F126" s="363"/>
      <c r="G126" s="366"/>
      <c r="H126" s="366"/>
      <c r="I126" s="366"/>
      <c r="J126" s="366"/>
      <c r="K126" s="365"/>
      <c r="L126" s="363"/>
      <c r="M126" s="367"/>
      <c r="N126" s="363"/>
      <c r="O126" s="368"/>
      <c r="P126" s="363"/>
      <c r="Q126" s="366"/>
      <c r="S126" s="1077">
        <f t="shared" si="1"/>
        <v>0</v>
      </c>
    </row>
    <row r="127" spans="2:19" ht="18">
      <c r="B127" s="363"/>
      <c r="C127" s="364"/>
      <c r="D127" s="363"/>
      <c r="E127" s="365"/>
      <c r="F127" s="363"/>
      <c r="G127" s="366"/>
      <c r="H127" s="366"/>
      <c r="I127" s="366"/>
      <c r="J127" s="366"/>
      <c r="K127" s="365"/>
      <c r="L127" s="363"/>
      <c r="M127" s="367"/>
      <c r="N127" s="363"/>
      <c r="O127" s="368"/>
      <c r="P127" s="363"/>
      <c r="Q127" s="366"/>
      <c r="S127" s="1077">
        <f t="shared" si="1"/>
        <v>0</v>
      </c>
    </row>
    <row r="128" spans="2:19" ht="18">
      <c r="B128" s="363"/>
      <c r="C128" s="364"/>
      <c r="D128" s="363"/>
      <c r="E128" s="365"/>
      <c r="F128" s="363"/>
      <c r="G128" s="366"/>
      <c r="H128" s="366"/>
      <c r="I128" s="366"/>
      <c r="J128" s="366"/>
      <c r="K128" s="365"/>
      <c r="L128" s="363"/>
      <c r="M128" s="367"/>
      <c r="N128" s="363"/>
      <c r="O128" s="368"/>
      <c r="P128" s="363"/>
      <c r="Q128" s="366"/>
      <c r="S128" s="1077">
        <f t="shared" si="1"/>
        <v>0</v>
      </c>
    </row>
    <row r="129" spans="2:19" ht="18">
      <c r="B129" s="363"/>
      <c r="C129" s="364"/>
      <c r="D129" s="363"/>
      <c r="E129" s="365"/>
      <c r="F129" s="363"/>
      <c r="G129" s="366"/>
      <c r="H129" s="366"/>
      <c r="I129" s="366"/>
      <c r="J129" s="366"/>
      <c r="K129" s="365"/>
      <c r="L129" s="363"/>
      <c r="M129" s="367"/>
      <c r="N129" s="363"/>
      <c r="O129" s="368"/>
      <c r="P129" s="363"/>
      <c r="Q129" s="366"/>
      <c r="S129" s="1077">
        <f t="shared" si="1"/>
        <v>0</v>
      </c>
    </row>
    <row r="130" spans="2:19" ht="18">
      <c r="B130" s="363"/>
      <c r="C130" s="364"/>
      <c r="D130" s="363"/>
      <c r="E130" s="365"/>
      <c r="F130" s="363"/>
      <c r="G130" s="366"/>
      <c r="H130" s="366"/>
      <c r="I130" s="366"/>
      <c r="J130" s="366"/>
      <c r="K130" s="365"/>
      <c r="L130" s="363"/>
      <c r="M130" s="367"/>
      <c r="N130" s="363"/>
      <c r="O130" s="368"/>
      <c r="P130" s="363"/>
      <c r="Q130" s="366"/>
      <c r="S130" s="1077">
        <f t="shared" si="1"/>
        <v>0</v>
      </c>
    </row>
    <row r="131" spans="2:19" ht="18">
      <c r="B131" s="363"/>
      <c r="C131" s="364"/>
      <c r="D131" s="363"/>
      <c r="E131" s="365"/>
      <c r="F131" s="363"/>
      <c r="G131" s="366"/>
      <c r="H131" s="366"/>
      <c r="I131" s="366"/>
      <c r="J131" s="366"/>
      <c r="K131" s="365"/>
      <c r="L131" s="363"/>
      <c r="M131" s="367"/>
      <c r="N131" s="363"/>
      <c r="O131" s="368"/>
      <c r="P131" s="363"/>
      <c r="Q131" s="366"/>
      <c r="S131" s="1077">
        <f t="shared" si="1"/>
        <v>0</v>
      </c>
    </row>
    <row r="132" spans="2:19" ht="18">
      <c r="B132" s="363"/>
      <c r="C132" s="364"/>
      <c r="D132" s="363"/>
      <c r="E132" s="365"/>
      <c r="F132" s="363"/>
      <c r="G132" s="366"/>
      <c r="H132" s="366"/>
      <c r="I132" s="366"/>
      <c r="J132" s="366"/>
      <c r="K132" s="365"/>
      <c r="L132" s="363"/>
      <c r="M132" s="367"/>
      <c r="N132" s="363"/>
      <c r="O132" s="368"/>
      <c r="P132" s="363"/>
      <c r="Q132" s="366"/>
      <c r="S132" s="1077">
        <f t="shared" si="1"/>
        <v>0</v>
      </c>
    </row>
    <row r="133" spans="2:19" ht="18">
      <c r="B133" s="363"/>
      <c r="C133" s="364"/>
      <c r="D133" s="363"/>
      <c r="E133" s="365"/>
      <c r="F133" s="363"/>
      <c r="G133" s="366"/>
      <c r="H133" s="366"/>
      <c r="I133" s="366"/>
      <c r="J133" s="366"/>
      <c r="K133" s="365"/>
      <c r="L133" s="363"/>
      <c r="M133" s="367"/>
      <c r="N133" s="363"/>
      <c r="O133" s="368"/>
      <c r="P133" s="363"/>
      <c r="Q133" s="366"/>
      <c r="S133" s="1077">
        <f t="shared" si="1"/>
        <v>0</v>
      </c>
    </row>
    <row r="134" spans="2:19" ht="18">
      <c r="B134" s="363"/>
      <c r="C134" s="364"/>
      <c r="D134" s="363"/>
      <c r="E134" s="365"/>
      <c r="F134" s="363"/>
      <c r="G134" s="366"/>
      <c r="H134" s="366"/>
      <c r="I134" s="366"/>
      <c r="J134" s="366"/>
      <c r="K134" s="365"/>
      <c r="L134" s="363"/>
      <c r="M134" s="367"/>
      <c r="N134" s="363"/>
      <c r="O134" s="368"/>
      <c r="P134" s="363"/>
      <c r="Q134" s="366"/>
      <c r="S134" s="1077">
        <f t="shared" si="1"/>
        <v>0</v>
      </c>
    </row>
    <row r="135" spans="2:19" ht="18">
      <c r="B135" s="363"/>
      <c r="C135" s="364"/>
      <c r="D135" s="363"/>
      <c r="E135" s="365"/>
      <c r="F135" s="363"/>
      <c r="G135" s="366"/>
      <c r="H135" s="366"/>
      <c r="I135" s="366"/>
      <c r="J135" s="366"/>
      <c r="K135" s="365"/>
      <c r="L135" s="363"/>
      <c r="M135" s="367"/>
      <c r="N135" s="363"/>
      <c r="O135" s="368"/>
      <c r="P135" s="363"/>
      <c r="Q135" s="366"/>
      <c r="S135" s="1077">
        <f t="shared" si="1"/>
        <v>0</v>
      </c>
    </row>
    <row r="136" spans="2:19" ht="18">
      <c r="B136" s="363"/>
      <c r="C136" s="364"/>
      <c r="D136" s="363"/>
      <c r="E136" s="365"/>
      <c r="F136" s="363"/>
      <c r="G136" s="366"/>
      <c r="H136" s="366"/>
      <c r="I136" s="366"/>
      <c r="J136" s="366"/>
      <c r="K136" s="365"/>
      <c r="L136" s="363"/>
      <c r="M136" s="367"/>
      <c r="N136" s="363"/>
      <c r="O136" s="368"/>
      <c r="P136" s="363"/>
      <c r="Q136" s="366"/>
      <c r="S136" s="1077">
        <f t="shared" si="1"/>
        <v>0</v>
      </c>
    </row>
    <row r="137" spans="2:19" ht="18">
      <c r="B137" s="363"/>
      <c r="C137" s="364"/>
      <c r="D137" s="363"/>
      <c r="E137" s="365"/>
      <c r="F137" s="363"/>
      <c r="G137" s="366"/>
      <c r="H137" s="366"/>
      <c r="I137" s="366"/>
      <c r="J137" s="366"/>
      <c r="K137" s="365"/>
      <c r="L137" s="363"/>
      <c r="M137" s="367"/>
      <c r="N137" s="363"/>
      <c r="O137" s="368"/>
      <c r="P137" s="363"/>
      <c r="Q137" s="366"/>
      <c r="S137" s="1077">
        <f t="shared" si="1"/>
        <v>0</v>
      </c>
    </row>
    <row r="138" spans="2:19" ht="18">
      <c r="B138" s="363"/>
      <c r="C138" s="364"/>
      <c r="D138" s="363"/>
      <c r="E138" s="365"/>
      <c r="F138" s="363"/>
      <c r="G138" s="366"/>
      <c r="H138" s="366"/>
      <c r="I138" s="366"/>
      <c r="J138" s="366"/>
      <c r="K138" s="365"/>
      <c r="L138" s="363"/>
      <c r="M138" s="367"/>
      <c r="N138" s="363"/>
      <c r="O138" s="368"/>
      <c r="P138" s="363"/>
      <c r="Q138" s="366"/>
      <c r="S138" s="1077">
        <f t="shared" si="1"/>
        <v>0</v>
      </c>
    </row>
    <row r="139" spans="2:19" ht="18">
      <c r="B139" s="363"/>
      <c r="C139" s="364"/>
      <c r="D139" s="363"/>
      <c r="E139" s="365"/>
      <c r="F139" s="363"/>
      <c r="G139" s="366"/>
      <c r="H139" s="366"/>
      <c r="I139" s="366"/>
      <c r="J139" s="366"/>
      <c r="K139" s="365"/>
      <c r="L139" s="363"/>
      <c r="M139" s="367"/>
      <c r="N139" s="363"/>
      <c r="O139" s="368"/>
      <c r="P139" s="363"/>
      <c r="Q139" s="366"/>
      <c r="S139" s="1077">
        <f t="shared" si="1"/>
        <v>0</v>
      </c>
    </row>
    <row r="140" spans="2:19" ht="18">
      <c r="B140" s="363"/>
      <c r="C140" s="364"/>
      <c r="D140" s="363"/>
      <c r="E140" s="365"/>
      <c r="F140" s="363"/>
      <c r="G140" s="366"/>
      <c r="H140" s="366"/>
      <c r="I140" s="366"/>
      <c r="J140" s="366"/>
      <c r="K140" s="365"/>
      <c r="L140" s="363"/>
      <c r="M140" s="367"/>
      <c r="N140" s="363"/>
      <c r="O140" s="368"/>
      <c r="P140" s="363"/>
      <c r="Q140" s="366"/>
      <c r="S140" s="1077">
        <f t="shared" si="1"/>
        <v>0</v>
      </c>
    </row>
    <row r="141" spans="2:19" ht="18">
      <c r="B141" s="363"/>
      <c r="C141" s="364"/>
      <c r="D141" s="363"/>
      <c r="E141" s="365"/>
      <c r="F141" s="363"/>
      <c r="G141" s="366"/>
      <c r="H141" s="366"/>
      <c r="I141" s="366"/>
      <c r="J141" s="366"/>
      <c r="K141" s="365"/>
      <c r="L141" s="363"/>
      <c r="M141" s="367"/>
      <c r="N141" s="363"/>
      <c r="O141" s="368"/>
      <c r="P141" s="363"/>
      <c r="Q141" s="366"/>
      <c r="S141" s="1077">
        <f t="shared" ref="S141:S204" si="2">SUMIF($B$12:$B$362,B141,$I$12:$I$362)</f>
        <v>0</v>
      </c>
    </row>
    <row r="142" spans="2:19" ht="18">
      <c r="B142" s="363"/>
      <c r="C142" s="364"/>
      <c r="D142" s="363"/>
      <c r="E142" s="365"/>
      <c r="F142" s="363"/>
      <c r="G142" s="366"/>
      <c r="H142" s="366"/>
      <c r="I142" s="366"/>
      <c r="J142" s="366"/>
      <c r="K142" s="365"/>
      <c r="L142" s="363"/>
      <c r="M142" s="367"/>
      <c r="N142" s="363"/>
      <c r="O142" s="368"/>
      <c r="P142" s="363"/>
      <c r="Q142" s="366"/>
      <c r="S142" s="1077">
        <f t="shared" si="2"/>
        <v>0</v>
      </c>
    </row>
    <row r="143" spans="2:19" ht="18">
      <c r="B143" s="363"/>
      <c r="C143" s="364"/>
      <c r="D143" s="363"/>
      <c r="E143" s="365"/>
      <c r="F143" s="363"/>
      <c r="G143" s="366"/>
      <c r="H143" s="366"/>
      <c r="I143" s="366"/>
      <c r="J143" s="366"/>
      <c r="K143" s="365"/>
      <c r="L143" s="363"/>
      <c r="M143" s="367"/>
      <c r="N143" s="363"/>
      <c r="O143" s="368"/>
      <c r="P143" s="363"/>
      <c r="Q143" s="366"/>
      <c r="S143" s="1077">
        <f t="shared" si="2"/>
        <v>0</v>
      </c>
    </row>
    <row r="144" spans="2:19" ht="18">
      <c r="B144" s="363"/>
      <c r="C144" s="364"/>
      <c r="D144" s="363"/>
      <c r="E144" s="365"/>
      <c r="F144" s="363"/>
      <c r="G144" s="366"/>
      <c r="H144" s="366"/>
      <c r="I144" s="366"/>
      <c r="J144" s="366"/>
      <c r="K144" s="365"/>
      <c r="L144" s="363"/>
      <c r="M144" s="367"/>
      <c r="N144" s="363"/>
      <c r="O144" s="368"/>
      <c r="P144" s="363"/>
      <c r="Q144" s="366"/>
      <c r="S144" s="1077">
        <f t="shared" si="2"/>
        <v>0</v>
      </c>
    </row>
    <row r="145" spans="2:19" ht="18">
      <c r="B145" s="363"/>
      <c r="C145" s="364"/>
      <c r="D145" s="363"/>
      <c r="E145" s="365"/>
      <c r="F145" s="363"/>
      <c r="G145" s="366"/>
      <c r="H145" s="366"/>
      <c r="I145" s="366"/>
      <c r="J145" s="366"/>
      <c r="K145" s="365"/>
      <c r="L145" s="363"/>
      <c r="M145" s="367"/>
      <c r="N145" s="363"/>
      <c r="O145" s="368"/>
      <c r="P145" s="363"/>
      <c r="Q145" s="366"/>
      <c r="S145" s="1077">
        <f t="shared" si="2"/>
        <v>0</v>
      </c>
    </row>
    <row r="146" spans="2:19" ht="18">
      <c r="B146" s="363"/>
      <c r="C146" s="364"/>
      <c r="D146" s="363"/>
      <c r="E146" s="365"/>
      <c r="F146" s="363"/>
      <c r="G146" s="366"/>
      <c r="H146" s="366"/>
      <c r="I146" s="366"/>
      <c r="J146" s="366"/>
      <c r="K146" s="365"/>
      <c r="L146" s="363"/>
      <c r="M146" s="367"/>
      <c r="N146" s="363"/>
      <c r="O146" s="368"/>
      <c r="P146" s="363"/>
      <c r="Q146" s="366"/>
      <c r="S146" s="1077">
        <f t="shared" si="2"/>
        <v>0</v>
      </c>
    </row>
    <row r="147" spans="2:19" ht="18">
      <c r="B147" s="363"/>
      <c r="C147" s="364"/>
      <c r="D147" s="363"/>
      <c r="E147" s="365"/>
      <c r="F147" s="363"/>
      <c r="G147" s="366"/>
      <c r="H147" s="366"/>
      <c r="I147" s="366"/>
      <c r="J147" s="366"/>
      <c r="K147" s="365"/>
      <c r="L147" s="363"/>
      <c r="M147" s="367"/>
      <c r="N147" s="363"/>
      <c r="O147" s="368"/>
      <c r="P147" s="363"/>
      <c r="Q147" s="366"/>
      <c r="S147" s="1077">
        <f t="shared" si="2"/>
        <v>0</v>
      </c>
    </row>
    <row r="148" spans="2:19" ht="18">
      <c r="B148" s="363"/>
      <c r="C148" s="364"/>
      <c r="D148" s="363"/>
      <c r="E148" s="365"/>
      <c r="F148" s="363"/>
      <c r="G148" s="366"/>
      <c r="H148" s="366"/>
      <c r="I148" s="366"/>
      <c r="J148" s="366"/>
      <c r="K148" s="365"/>
      <c r="L148" s="363"/>
      <c r="M148" s="367"/>
      <c r="N148" s="363"/>
      <c r="O148" s="368"/>
      <c r="P148" s="363"/>
      <c r="Q148" s="366"/>
      <c r="S148" s="1077">
        <f t="shared" si="2"/>
        <v>0</v>
      </c>
    </row>
    <row r="149" spans="2:19" ht="18">
      <c r="B149" s="363"/>
      <c r="C149" s="364"/>
      <c r="D149" s="363"/>
      <c r="E149" s="365"/>
      <c r="F149" s="363"/>
      <c r="G149" s="366"/>
      <c r="H149" s="366"/>
      <c r="I149" s="366"/>
      <c r="J149" s="366"/>
      <c r="K149" s="365"/>
      <c r="L149" s="363"/>
      <c r="M149" s="367"/>
      <c r="N149" s="363"/>
      <c r="O149" s="368"/>
      <c r="P149" s="363"/>
      <c r="Q149" s="366"/>
      <c r="S149" s="1077">
        <f t="shared" si="2"/>
        <v>0</v>
      </c>
    </row>
    <row r="150" spans="2:19">
      <c r="S150" s="1077">
        <f t="shared" si="2"/>
        <v>0</v>
      </c>
    </row>
    <row r="151" spans="2:19">
      <c r="S151" s="1077">
        <f t="shared" si="2"/>
        <v>0</v>
      </c>
    </row>
    <row r="152" spans="2:19">
      <c r="S152" s="1077">
        <f t="shared" si="2"/>
        <v>0</v>
      </c>
    </row>
    <row r="153" spans="2:19">
      <c r="S153" s="1077">
        <f t="shared" si="2"/>
        <v>0</v>
      </c>
    </row>
    <row r="154" spans="2:19">
      <c r="S154" s="1077">
        <f t="shared" si="2"/>
        <v>0</v>
      </c>
    </row>
    <row r="155" spans="2:19">
      <c r="S155" s="1077">
        <f t="shared" si="2"/>
        <v>0</v>
      </c>
    </row>
    <row r="156" spans="2:19">
      <c r="S156" s="1077">
        <f t="shared" si="2"/>
        <v>0</v>
      </c>
    </row>
    <row r="157" spans="2:19">
      <c r="S157" s="1077">
        <f t="shared" si="2"/>
        <v>0</v>
      </c>
    </row>
    <row r="158" spans="2:19">
      <c r="S158" s="1077">
        <f t="shared" si="2"/>
        <v>0</v>
      </c>
    </row>
    <row r="159" spans="2:19">
      <c r="S159" s="1077">
        <f t="shared" si="2"/>
        <v>0</v>
      </c>
    </row>
    <row r="160" spans="2:19">
      <c r="S160" s="1077">
        <f t="shared" si="2"/>
        <v>0</v>
      </c>
    </row>
    <row r="161" spans="19:19">
      <c r="S161" s="1077">
        <f t="shared" si="2"/>
        <v>0</v>
      </c>
    </row>
    <row r="162" spans="19:19">
      <c r="S162" s="1077">
        <f t="shared" si="2"/>
        <v>0</v>
      </c>
    </row>
    <row r="163" spans="19:19">
      <c r="S163" s="1077">
        <f t="shared" si="2"/>
        <v>0</v>
      </c>
    </row>
    <row r="164" spans="19:19">
      <c r="S164" s="1077">
        <f t="shared" si="2"/>
        <v>0</v>
      </c>
    </row>
    <row r="165" spans="19:19">
      <c r="S165" s="1077">
        <f t="shared" si="2"/>
        <v>0</v>
      </c>
    </row>
    <row r="166" spans="19:19">
      <c r="S166" s="1077">
        <f t="shared" si="2"/>
        <v>0</v>
      </c>
    </row>
    <row r="167" spans="19:19">
      <c r="S167" s="1077">
        <f t="shared" si="2"/>
        <v>0</v>
      </c>
    </row>
    <row r="168" spans="19:19">
      <c r="S168" s="1077">
        <f t="shared" si="2"/>
        <v>0</v>
      </c>
    </row>
    <row r="169" spans="19:19">
      <c r="S169" s="1077">
        <f t="shared" si="2"/>
        <v>0</v>
      </c>
    </row>
    <row r="170" spans="19:19">
      <c r="S170" s="1077">
        <f t="shared" si="2"/>
        <v>0</v>
      </c>
    </row>
    <row r="171" spans="19:19">
      <c r="S171" s="1077">
        <f t="shared" si="2"/>
        <v>0</v>
      </c>
    </row>
    <row r="172" spans="19:19">
      <c r="S172" s="1077">
        <f t="shared" si="2"/>
        <v>0</v>
      </c>
    </row>
    <row r="173" spans="19:19">
      <c r="S173" s="1077">
        <f t="shared" si="2"/>
        <v>0</v>
      </c>
    </row>
    <row r="174" spans="19:19">
      <c r="S174" s="1077">
        <f t="shared" si="2"/>
        <v>0</v>
      </c>
    </row>
    <row r="175" spans="19:19">
      <c r="S175" s="1077">
        <f t="shared" si="2"/>
        <v>0</v>
      </c>
    </row>
    <row r="176" spans="19:19">
      <c r="S176" s="1077">
        <f t="shared" si="2"/>
        <v>0</v>
      </c>
    </row>
    <row r="177" spans="19:19">
      <c r="S177" s="1077">
        <f t="shared" si="2"/>
        <v>0</v>
      </c>
    </row>
    <row r="178" spans="19:19">
      <c r="S178" s="1077">
        <f t="shared" si="2"/>
        <v>0</v>
      </c>
    </row>
    <row r="179" spans="19:19">
      <c r="S179" s="1077">
        <f t="shared" si="2"/>
        <v>0</v>
      </c>
    </row>
    <row r="180" spans="19:19">
      <c r="S180" s="1077">
        <f t="shared" si="2"/>
        <v>0</v>
      </c>
    </row>
    <row r="181" spans="19:19">
      <c r="S181" s="1077">
        <f t="shared" si="2"/>
        <v>0</v>
      </c>
    </row>
    <row r="182" spans="19:19">
      <c r="S182" s="1077">
        <f t="shared" si="2"/>
        <v>0</v>
      </c>
    </row>
    <row r="183" spans="19:19">
      <c r="S183" s="1077">
        <f t="shared" si="2"/>
        <v>0</v>
      </c>
    </row>
    <row r="184" spans="19:19">
      <c r="S184" s="1077">
        <f t="shared" si="2"/>
        <v>0</v>
      </c>
    </row>
    <row r="185" spans="19:19">
      <c r="S185" s="1077">
        <f t="shared" si="2"/>
        <v>0</v>
      </c>
    </row>
    <row r="186" spans="19:19">
      <c r="S186" s="1077">
        <f t="shared" si="2"/>
        <v>0</v>
      </c>
    </row>
    <row r="187" spans="19:19">
      <c r="S187" s="1077">
        <f t="shared" si="2"/>
        <v>0</v>
      </c>
    </row>
    <row r="188" spans="19:19">
      <c r="S188" s="1077">
        <f t="shared" si="2"/>
        <v>0</v>
      </c>
    </row>
    <row r="189" spans="19:19">
      <c r="S189" s="1077">
        <f t="shared" si="2"/>
        <v>0</v>
      </c>
    </row>
    <row r="190" spans="19:19">
      <c r="S190" s="1077">
        <f t="shared" si="2"/>
        <v>0</v>
      </c>
    </row>
    <row r="191" spans="19:19">
      <c r="S191" s="1077">
        <f t="shared" si="2"/>
        <v>0</v>
      </c>
    </row>
    <row r="192" spans="19:19">
      <c r="S192" s="1077">
        <f t="shared" si="2"/>
        <v>0</v>
      </c>
    </row>
    <row r="193" spans="19:19">
      <c r="S193" s="1077">
        <f t="shared" si="2"/>
        <v>0</v>
      </c>
    </row>
    <row r="194" spans="19:19">
      <c r="S194" s="1077">
        <f t="shared" si="2"/>
        <v>0</v>
      </c>
    </row>
    <row r="195" spans="19:19">
      <c r="S195" s="1077">
        <f t="shared" si="2"/>
        <v>0</v>
      </c>
    </row>
    <row r="196" spans="19:19">
      <c r="S196" s="1077">
        <f t="shared" si="2"/>
        <v>0</v>
      </c>
    </row>
    <row r="197" spans="19:19">
      <c r="S197" s="1077">
        <f t="shared" si="2"/>
        <v>0</v>
      </c>
    </row>
    <row r="198" spans="19:19">
      <c r="S198" s="1077">
        <f t="shared" si="2"/>
        <v>0</v>
      </c>
    </row>
    <row r="199" spans="19:19">
      <c r="S199" s="1077">
        <f t="shared" si="2"/>
        <v>0</v>
      </c>
    </row>
    <row r="200" spans="19:19">
      <c r="S200" s="1077">
        <f t="shared" si="2"/>
        <v>0</v>
      </c>
    </row>
    <row r="201" spans="19:19">
      <c r="S201" s="1077">
        <f t="shared" si="2"/>
        <v>0</v>
      </c>
    </row>
    <row r="202" spans="19:19">
      <c r="S202" s="1077">
        <f t="shared" si="2"/>
        <v>0</v>
      </c>
    </row>
    <row r="203" spans="19:19">
      <c r="S203" s="1077">
        <f t="shared" si="2"/>
        <v>0</v>
      </c>
    </row>
    <row r="204" spans="19:19">
      <c r="S204" s="1077">
        <f t="shared" si="2"/>
        <v>0</v>
      </c>
    </row>
    <row r="205" spans="19:19">
      <c r="S205" s="1077">
        <f t="shared" ref="S205:S268" si="3">SUMIF($B$12:$B$362,B205,$I$12:$I$362)</f>
        <v>0</v>
      </c>
    </row>
    <row r="206" spans="19:19">
      <c r="S206" s="1077">
        <f t="shared" si="3"/>
        <v>0</v>
      </c>
    </row>
    <row r="207" spans="19:19">
      <c r="S207" s="1077">
        <f t="shared" si="3"/>
        <v>0</v>
      </c>
    </row>
    <row r="208" spans="19:19">
      <c r="S208" s="1077">
        <f t="shared" si="3"/>
        <v>0</v>
      </c>
    </row>
    <row r="209" spans="19:19">
      <c r="S209" s="1077">
        <f t="shared" si="3"/>
        <v>0</v>
      </c>
    </row>
    <row r="210" spans="19:19">
      <c r="S210" s="1077">
        <f t="shared" si="3"/>
        <v>0</v>
      </c>
    </row>
    <row r="211" spans="19:19">
      <c r="S211" s="1077">
        <f t="shared" si="3"/>
        <v>0</v>
      </c>
    </row>
    <row r="212" spans="19:19">
      <c r="S212" s="1077">
        <f t="shared" si="3"/>
        <v>0</v>
      </c>
    </row>
    <row r="213" spans="19:19">
      <c r="S213" s="1077">
        <f t="shared" si="3"/>
        <v>0</v>
      </c>
    </row>
    <row r="214" spans="19:19">
      <c r="S214" s="1077">
        <f t="shared" si="3"/>
        <v>0</v>
      </c>
    </row>
    <row r="215" spans="19:19">
      <c r="S215" s="1077">
        <f t="shared" si="3"/>
        <v>0</v>
      </c>
    </row>
    <row r="216" spans="19:19">
      <c r="S216" s="1077">
        <f t="shared" si="3"/>
        <v>0</v>
      </c>
    </row>
    <row r="217" spans="19:19">
      <c r="S217" s="1077">
        <f t="shared" si="3"/>
        <v>0</v>
      </c>
    </row>
    <row r="218" spans="19:19">
      <c r="S218" s="1077">
        <f t="shared" si="3"/>
        <v>0</v>
      </c>
    </row>
    <row r="219" spans="19:19">
      <c r="S219" s="1077">
        <f t="shared" si="3"/>
        <v>0</v>
      </c>
    </row>
    <row r="220" spans="19:19">
      <c r="S220" s="1077">
        <f t="shared" si="3"/>
        <v>0</v>
      </c>
    </row>
    <row r="221" spans="19:19">
      <c r="S221" s="1077">
        <f t="shared" si="3"/>
        <v>0</v>
      </c>
    </row>
    <row r="222" spans="19:19">
      <c r="S222" s="1077">
        <f t="shared" si="3"/>
        <v>0</v>
      </c>
    </row>
    <row r="223" spans="19:19">
      <c r="S223" s="1077">
        <f t="shared" si="3"/>
        <v>0</v>
      </c>
    </row>
    <row r="224" spans="19:19">
      <c r="S224" s="1077">
        <f t="shared" si="3"/>
        <v>0</v>
      </c>
    </row>
    <row r="225" spans="19:19">
      <c r="S225" s="1077">
        <f t="shared" si="3"/>
        <v>0</v>
      </c>
    </row>
    <row r="226" spans="19:19">
      <c r="S226" s="1077">
        <f t="shared" si="3"/>
        <v>0</v>
      </c>
    </row>
    <row r="227" spans="19:19">
      <c r="S227" s="1077">
        <f t="shared" si="3"/>
        <v>0</v>
      </c>
    </row>
    <row r="228" spans="19:19">
      <c r="S228" s="1077">
        <f t="shared" si="3"/>
        <v>0</v>
      </c>
    </row>
    <row r="229" spans="19:19">
      <c r="S229" s="1077">
        <f t="shared" si="3"/>
        <v>0</v>
      </c>
    </row>
    <row r="230" spans="19:19">
      <c r="S230" s="1077">
        <f t="shared" si="3"/>
        <v>0</v>
      </c>
    </row>
    <row r="231" spans="19:19">
      <c r="S231" s="1077">
        <f t="shared" si="3"/>
        <v>0</v>
      </c>
    </row>
    <row r="232" spans="19:19">
      <c r="S232" s="1077">
        <f t="shared" si="3"/>
        <v>0</v>
      </c>
    </row>
    <row r="233" spans="19:19">
      <c r="S233" s="1077">
        <f t="shared" si="3"/>
        <v>0</v>
      </c>
    </row>
    <row r="234" spans="19:19">
      <c r="S234" s="1077">
        <f t="shared" si="3"/>
        <v>0</v>
      </c>
    </row>
    <row r="235" spans="19:19">
      <c r="S235" s="1077">
        <f t="shared" si="3"/>
        <v>0</v>
      </c>
    </row>
    <row r="236" spans="19:19">
      <c r="S236" s="1077">
        <f t="shared" si="3"/>
        <v>0</v>
      </c>
    </row>
    <row r="237" spans="19:19">
      <c r="S237" s="1077">
        <f t="shared" si="3"/>
        <v>0</v>
      </c>
    </row>
    <row r="238" spans="19:19">
      <c r="S238" s="1077">
        <f t="shared" si="3"/>
        <v>0</v>
      </c>
    </row>
    <row r="239" spans="19:19">
      <c r="S239" s="1077">
        <f t="shared" si="3"/>
        <v>0</v>
      </c>
    </row>
    <row r="240" spans="19:19">
      <c r="S240" s="1077">
        <f t="shared" si="3"/>
        <v>0</v>
      </c>
    </row>
    <row r="241" spans="19:19">
      <c r="S241" s="1077">
        <f t="shared" si="3"/>
        <v>0</v>
      </c>
    </row>
    <row r="242" spans="19:19">
      <c r="S242" s="1077">
        <f t="shared" si="3"/>
        <v>0</v>
      </c>
    </row>
    <row r="243" spans="19:19">
      <c r="S243" s="1077">
        <f t="shared" si="3"/>
        <v>0</v>
      </c>
    </row>
    <row r="244" spans="19:19">
      <c r="S244" s="1077">
        <f t="shared" si="3"/>
        <v>0</v>
      </c>
    </row>
    <row r="245" spans="19:19">
      <c r="S245" s="1077">
        <f t="shared" si="3"/>
        <v>0</v>
      </c>
    </row>
    <row r="246" spans="19:19">
      <c r="S246" s="1077">
        <f t="shared" si="3"/>
        <v>0</v>
      </c>
    </row>
    <row r="247" spans="19:19">
      <c r="S247" s="1077">
        <f t="shared" si="3"/>
        <v>0</v>
      </c>
    </row>
    <row r="248" spans="19:19">
      <c r="S248" s="1077">
        <f t="shared" si="3"/>
        <v>0</v>
      </c>
    </row>
    <row r="249" spans="19:19">
      <c r="S249" s="1077">
        <f t="shared" si="3"/>
        <v>0</v>
      </c>
    </row>
    <row r="250" spans="19:19">
      <c r="S250" s="1077">
        <f t="shared" si="3"/>
        <v>0</v>
      </c>
    </row>
    <row r="251" spans="19:19">
      <c r="S251" s="1077">
        <f t="shared" si="3"/>
        <v>0</v>
      </c>
    </row>
    <row r="252" spans="19:19">
      <c r="S252" s="1077">
        <f t="shared" si="3"/>
        <v>0</v>
      </c>
    </row>
    <row r="253" spans="19:19">
      <c r="S253" s="1077">
        <f t="shared" si="3"/>
        <v>0</v>
      </c>
    </row>
    <row r="254" spans="19:19">
      <c r="S254" s="1077">
        <f t="shared" si="3"/>
        <v>0</v>
      </c>
    </row>
    <row r="255" spans="19:19">
      <c r="S255" s="1077">
        <f t="shared" si="3"/>
        <v>0</v>
      </c>
    </row>
    <row r="256" spans="19:19">
      <c r="S256" s="1077">
        <f t="shared" si="3"/>
        <v>0</v>
      </c>
    </row>
    <row r="257" spans="19:19">
      <c r="S257" s="1077">
        <f t="shared" si="3"/>
        <v>0</v>
      </c>
    </row>
    <row r="258" spans="19:19">
      <c r="S258" s="1077">
        <f t="shared" si="3"/>
        <v>0</v>
      </c>
    </row>
    <row r="259" spans="19:19">
      <c r="S259" s="1077">
        <f t="shared" si="3"/>
        <v>0</v>
      </c>
    </row>
    <row r="260" spans="19:19">
      <c r="S260" s="1077">
        <f t="shared" si="3"/>
        <v>0</v>
      </c>
    </row>
    <row r="261" spans="19:19">
      <c r="S261" s="1077">
        <f t="shared" si="3"/>
        <v>0</v>
      </c>
    </row>
    <row r="262" spans="19:19">
      <c r="S262" s="1077">
        <f t="shared" si="3"/>
        <v>0</v>
      </c>
    </row>
    <row r="263" spans="19:19">
      <c r="S263" s="1077">
        <f t="shared" si="3"/>
        <v>0</v>
      </c>
    </row>
    <row r="264" spans="19:19">
      <c r="S264" s="1077">
        <f t="shared" si="3"/>
        <v>0</v>
      </c>
    </row>
    <row r="265" spans="19:19">
      <c r="S265" s="1077">
        <f t="shared" si="3"/>
        <v>0</v>
      </c>
    </row>
    <row r="266" spans="19:19">
      <c r="S266" s="1077">
        <f t="shared" si="3"/>
        <v>0</v>
      </c>
    </row>
    <row r="267" spans="19:19">
      <c r="S267" s="1077">
        <f t="shared" si="3"/>
        <v>0</v>
      </c>
    </row>
    <row r="268" spans="19:19">
      <c r="S268" s="1077">
        <f t="shared" si="3"/>
        <v>0</v>
      </c>
    </row>
    <row r="269" spans="19:19">
      <c r="S269" s="1077">
        <f t="shared" ref="S269:S332" si="4">SUMIF($B$12:$B$362,B269,$I$12:$I$362)</f>
        <v>0</v>
      </c>
    </row>
    <row r="270" spans="19:19">
      <c r="S270" s="1077">
        <f t="shared" si="4"/>
        <v>0</v>
      </c>
    </row>
    <row r="271" spans="19:19">
      <c r="S271" s="1077">
        <f t="shared" si="4"/>
        <v>0</v>
      </c>
    </row>
    <row r="272" spans="19:19">
      <c r="S272" s="1077">
        <f t="shared" si="4"/>
        <v>0</v>
      </c>
    </row>
    <row r="273" spans="19:19">
      <c r="S273" s="1077">
        <f t="shared" si="4"/>
        <v>0</v>
      </c>
    </row>
    <row r="274" spans="19:19">
      <c r="S274" s="1077">
        <f t="shared" si="4"/>
        <v>0</v>
      </c>
    </row>
    <row r="275" spans="19:19">
      <c r="S275" s="1077">
        <f t="shared" si="4"/>
        <v>0</v>
      </c>
    </row>
    <row r="276" spans="19:19">
      <c r="S276" s="1077">
        <f t="shared" si="4"/>
        <v>0</v>
      </c>
    </row>
    <row r="277" spans="19:19">
      <c r="S277" s="1077">
        <f t="shared" si="4"/>
        <v>0</v>
      </c>
    </row>
    <row r="278" spans="19:19">
      <c r="S278" s="1077">
        <f t="shared" si="4"/>
        <v>0</v>
      </c>
    </row>
    <row r="279" spans="19:19">
      <c r="S279" s="1077">
        <f t="shared" si="4"/>
        <v>0</v>
      </c>
    </row>
    <row r="280" spans="19:19">
      <c r="S280" s="1077">
        <f t="shared" si="4"/>
        <v>0</v>
      </c>
    </row>
    <row r="281" spans="19:19">
      <c r="S281" s="1077">
        <f t="shared" si="4"/>
        <v>0</v>
      </c>
    </row>
    <row r="282" spans="19:19">
      <c r="S282" s="1077">
        <f t="shared" si="4"/>
        <v>0</v>
      </c>
    </row>
    <row r="283" spans="19:19">
      <c r="S283" s="1077">
        <f t="shared" si="4"/>
        <v>0</v>
      </c>
    </row>
    <row r="284" spans="19:19">
      <c r="S284" s="1077">
        <f t="shared" si="4"/>
        <v>0</v>
      </c>
    </row>
    <row r="285" spans="19:19">
      <c r="S285" s="1077">
        <f t="shared" si="4"/>
        <v>0</v>
      </c>
    </row>
    <row r="286" spans="19:19">
      <c r="S286" s="1077">
        <f t="shared" si="4"/>
        <v>0</v>
      </c>
    </row>
    <row r="287" spans="19:19">
      <c r="S287" s="1077">
        <f t="shared" si="4"/>
        <v>0</v>
      </c>
    </row>
    <row r="288" spans="19:19">
      <c r="S288" s="1077">
        <f t="shared" si="4"/>
        <v>0</v>
      </c>
    </row>
    <row r="289" spans="19:19">
      <c r="S289" s="1077">
        <f t="shared" si="4"/>
        <v>0</v>
      </c>
    </row>
    <row r="290" spans="19:19">
      <c r="S290" s="1077">
        <f t="shared" si="4"/>
        <v>0</v>
      </c>
    </row>
    <row r="291" spans="19:19">
      <c r="S291" s="1077">
        <f t="shared" si="4"/>
        <v>0</v>
      </c>
    </row>
    <row r="292" spans="19:19">
      <c r="S292" s="1077">
        <f t="shared" si="4"/>
        <v>0</v>
      </c>
    </row>
    <row r="293" spans="19:19">
      <c r="S293" s="1077">
        <f t="shared" si="4"/>
        <v>0</v>
      </c>
    </row>
    <row r="294" spans="19:19">
      <c r="S294" s="1077">
        <f t="shared" si="4"/>
        <v>0</v>
      </c>
    </row>
    <row r="295" spans="19:19">
      <c r="S295" s="1077">
        <f t="shared" si="4"/>
        <v>0</v>
      </c>
    </row>
    <row r="296" spans="19:19">
      <c r="S296" s="1077">
        <f t="shared" si="4"/>
        <v>0</v>
      </c>
    </row>
    <row r="297" spans="19:19">
      <c r="S297" s="1077">
        <f t="shared" si="4"/>
        <v>0</v>
      </c>
    </row>
    <row r="298" spans="19:19">
      <c r="S298" s="1077">
        <f t="shared" si="4"/>
        <v>0</v>
      </c>
    </row>
    <row r="299" spans="19:19">
      <c r="S299" s="1077">
        <f t="shared" si="4"/>
        <v>0</v>
      </c>
    </row>
    <row r="300" spans="19:19">
      <c r="S300" s="1077">
        <f t="shared" si="4"/>
        <v>0</v>
      </c>
    </row>
    <row r="301" spans="19:19">
      <c r="S301" s="1077">
        <f t="shared" si="4"/>
        <v>0</v>
      </c>
    </row>
    <row r="302" spans="19:19">
      <c r="S302" s="1077">
        <f t="shared" si="4"/>
        <v>0</v>
      </c>
    </row>
    <row r="303" spans="19:19">
      <c r="S303" s="1077">
        <f t="shared" si="4"/>
        <v>0</v>
      </c>
    </row>
    <row r="304" spans="19:19">
      <c r="S304" s="1077">
        <f t="shared" si="4"/>
        <v>0</v>
      </c>
    </row>
    <row r="305" spans="19:19">
      <c r="S305" s="1077">
        <f t="shared" si="4"/>
        <v>0</v>
      </c>
    </row>
    <row r="306" spans="19:19">
      <c r="S306" s="1077">
        <f t="shared" si="4"/>
        <v>0</v>
      </c>
    </row>
    <row r="307" spans="19:19">
      <c r="S307" s="1077">
        <f t="shared" si="4"/>
        <v>0</v>
      </c>
    </row>
    <row r="308" spans="19:19">
      <c r="S308" s="1077">
        <f t="shared" si="4"/>
        <v>0</v>
      </c>
    </row>
    <row r="309" spans="19:19">
      <c r="S309" s="1077">
        <f t="shared" si="4"/>
        <v>0</v>
      </c>
    </row>
    <row r="310" spans="19:19">
      <c r="S310" s="1077">
        <f t="shared" si="4"/>
        <v>0</v>
      </c>
    </row>
    <row r="311" spans="19:19">
      <c r="S311" s="1077">
        <f t="shared" si="4"/>
        <v>0</v>
      </c>
    </row>
    <row r="312" spans="19:19">
      <c r="S312" s="1077">
        <f t="shared" si="4"/>
        <v>0</v>
      </c>
    </row>
    <row r="313" spans="19:19">
      <c r="S313" s="1077">
        <f t="shared" si="4"/>
        <v>0</v>
      </c>
    </row>
    <row r="314" spans="19:19">
      <c r="S314" s="1077">
        <f t="shared" si="4"/>
        <v>0</v>
      </c>
    </row>
    <row r="315" spans="19:19">
      <c r="S315" s="1077">
        <f t="shared" si="4"/>
        <v>0</v>
      </c>
    </row>
    <row r="316" spans="19:19">
      <c r="S316" s="1077">
        <f t="shared" si="4"/>
        <v>0</v>
      </c>
    </row>
    <row r="317" spans="19:19">
      <c r="S317" s="1077">
        <f t="shared" si="4"/>
        <v>0</v>
      </c>
    </row>
    <row r="318" spans="19:19">
      <c r="S318" s="1077">
        <f t="shared" si="4"/>
        <v>0</v>
      </c>
    </row>
    <row r="319" spans="19:19">
      <c r="S319" s="1077">
        <f t="shared" si="4"/>
        <v>0</v>
      </c>
    </row>
    <row r="320" spans="19:19">
      <c r="S320" s="1077">
        <f t="shared" si="4"/>
        <v>0</v>
      </c>
    </row>
    <row r="321" spans="19:19">
      <c r="S321" s="1077">
        <f t="shared" si="4"/>
        <v>0</v>
      </c>
    </row>
    <row r="322" spans="19:19">
      <c r="S322" s="1077">
        <f t="shared" si="4"/>
        <v>0</v>
      </c>
    </row>
    <row r="323" spans="19:19">
      <c r="S323" s="1077">
        <f t="shared" si="4"/>
        <v>0</v>
      </c>
    </row>
    <row r="324" spans="19:19">
      <c r="S324" s="1077">
        <f t="shared" si="4"/>
        <v>0</v>
      </c>
    </row>
    <row r="325" spans="19:19">
      <c r="S325" s="1077">
        <f t="shared" si="4"/>
        <v>0</v>
      </c>
    </row>
    <row r="326" spans="19:19">
      <c r="S326" s="1077">
        <f t="shared" si="4"/>
        <v>0</v>
      </c>
    </row>
    <row r="327" spans="19:19">
      <c r="S327" s="1077">
        <f t="shared" si="4"/>
        <v>0</v>
      </c>
    </row>
    <row r="328" spans="19:19">
      <c r="S328" s="1077">
        <f t="shared" si="4"/>
        <v>0</v>
      </c>
    </row>
    <row r="329" spans="19:19">
      <c r="S329" s="1077">
        <f t="shared" si="4"/>
        <v>0</v>
      </c>
    </row>
    <row r="330" spans="19:19">
      <c r="S330" s="1077">
        <f t="shared" si="4"/>
        <v>0</v>
      </c>
    </row>
    <row r="331" spans="19:19">
      <c r="S331" s="1077">
        <f t="shared" si="4"/>
        <v>0</v>
      </c>
    </row>
    <row r="332" spans="19:19">
      <c r="S332" s="1077">
        <f t="shared" si="4"/>
        <v>0</v>
      </c>
    </row>
    <row r="333" spans="19:19">
      <c r="S333" s="1077">
        <f t="shared" ref="S333:S362" si="5">SUMIF($B$12:$B$362,B333,$I$12:$I$362)</f>
        <v>0</v>
      </c>
    </row>
    <row r="334" spans="19:19">
      <c r="S334" s="1077">
        <f t="shared" si="5"/>
        <v>0</v>
      </c>
    </row>
    <row r="335" spans="19:19">
      <c r="S335" s="1077">
        <f t="shared" si="5"/>
        <v>0</v>
      </c>
    </row>
    <row r="336" spans="19:19">
      <c r="S336" s="1077">
        <f t="shared" si="5"/>
        <v>0</v>
      </c>
    </row>
    <row r="337" spans="19:19">
      <c r="S337" s="1077">
        <f t="shared" si="5"/>
        <v>0</v>
      </c>
    </row>
    <row r="338" spans="19:19">
      <c r="S338" s="1077">
        <f t="shared" si="5"/>
        <v>0</v>
      </c>
    </row>
    <row r="339" spans="19:19">
      <c r="S339" s="1077">
        <f t="shared" si="5"/>
        <v>0</v>
      </c>
    </row>
    <row r="340" spans="19:19">
      <c r="S340" s="1077">
        <f t="shared" si="5"/>
        <v>0</v>
      </c>
    </row>
    <row r="341" spans="19:19">
      <c r="S341" s="1077">
        <f t="shared" si="5"/>
        <v>0</v>
      </c>
    </row>
    <row r="342" spans="19:19">
      <c r="S342" s="1077">
        <f t="shared" si="5"/>
        <v>0</v>
      </c>
    </row>
    <row r="343" spans="19:19">
      <c r="S343" s="1077">
        <f t="shared" si="5"/>
        <v>0</v>
      </c>
    </row>
    <row r="344" spans="19:19">
      <c r="S344" s="1077">
        <f t="shared" si="5"/>
        <v>0</v>
      </c>
    </row>
    <row r="345" spans="19:19">
      <c r="S345" s="1077">
        <f t="shared" si="5"/>
        <v>0</v>
      </c>
    </row>
    <row r="346" spans="19:19">
      <c r="S346" s="1077">
        <f t="shared" si="5"/>
        <v>0</v>
      </c>
    </row>
    <row r="347" spans="19:19">
      <c r="S347" s="1077">
        <f t="shared" si="5"/>
        <v>0</v>
      </c>
    </row>
    <row r="348" spans="19:19">
      <c r="S348" s="1077">
        <f t="shared" si="5"/>
        <v>0</v>
      </c>
    </row>
    <row r="349" spans="19:19">
      <c r="S349" s="1077">
        <f t="shared" si="5"/>
        <v>0</v>
      </c>
    </row>
    <row r="350" spans="19:19">
      <c r="S350" s="1077">
        <f t="shared" si="5"/>
        <v>0</v>
      </c>
    </row>
    <row r="351" spans="19:19">
      <c r="S351" s="1077">
        <f t="shared" si="5"/>
        <v>0</v>
      </c>
    </row>
    <row r="352" spans="19:19">
      <c r="S352" s="1077">
        <f t="shared" si="5"/>
        <v>0</v>
      </c>
    </row>
    <row r="353" spans="19:19">
      <c r="S353" s="1077">
        <f t="shared" si="5"/>
        <v>0</v>
      </c>
    </row>
    <row r="354" spans="19:19">
      <c r="S354" s="1077">
        <f t="shared" si="5"/>
        <v>0</v>
      </c>
    </row>
    <row r="355" spans="19:19">
      <c r="S355" s="1077">
        <f t="shared" si="5"/>
        <v>0</v>
      </c>
    </row>
    <row r="356" spans="19:19">
      <c r="S356" s="1077">
        <f t="shared" si="5"/>
        <v>0</v>
      </c>
    </row>
    <row r="357" spans="19:19">
      <c r="S357" s="1077">
        <f t="shared" si="5"/>
        <v>0</v>
      </c>
    </row>
    <row r="358" spans="19:19">
      <c r="S358" s="1077">
        <f t="shared" si="5"/>
        <v>0</v>
      </c>
    </row>
    <row r="359" spans="19:19">
      <c r="S359" s="1077">
        <f t="shared" si="5"/>
        <v>0</v>
      </c>
    </row>
    <row r="360" spans="19:19">
      <c r="S360" s="1077">
        <f t="shared" si="5"/>
        <v>0</v>
      </c>
    </row>
    <row r="361" spans="19:19">
      <c r="S361" s="1077">
        <f t="shared" si="5"/>
        <v>0</v>
      </c>
    </row>
    <row r="362" spans="19:19">
      <c r="S362" s="1077">
        <f t="shared" si="5"/>
        <v>0</v>
      </c>
    </row>
  </sheetData>
  <sheetProtection password="E9D4" sheet="1" objects="1" scenarios="1"/>
  <customSheetViews>
    <customSheetView guid="{871F8275-217B-436F-8813-871F820F0EE4}" scale="75" showPageBreaks="1" showGridLines="0" printArea="1" view="pageBreakPreview">
      <selection activeCell="I35" sqref="I35"/>
      <pageMargins left="0.31496062992125984" right="0.31496062992125984" top="0.39370078740157483" bottom="0.39370078740157483" header="0.19685039370078741" footer="0.19685039370078741"/>
      <pageSetup paperSize="9" scale="60" orientation="landscape" r:id="rId1"/>
      <headerFooter alignWithMargins="0">
        <oddFooter>&amp;L&amp;7&amp;D&amp;C&amp;7&amp;P&amp;R&amp;7&amp;F</oddFooter>
      </headerFooter>
    </customSheetView>
    <customSheetView guid="{2EBF18CB-80C9-43ED-A978-2AAEAC40933E}" scale="75" showGridLines="0" showRuler="0" topLeftCell="A7">
      <selection activeCell="E17" sqref="E17"/>
      <pageMargins left="0.31496062992125984" right="0.31496062992125984" top="0.39370078740157483" bottom="0.39370078740157483" header="0.19685039370078741" footer="0.19685039370078741"/>
      <pageSetup paperSize="9" scale="65" orientation="landscape" horizontalDpi="300" verticalDpi="300" r:id="rId2"/>
      <headerFooter alignWithMargins="0">
        <oddFooter>&amp;L&amp;7&amp;D&amp;C&amp;7&amp;P&amp;R&amp;7&amp;F</oddFooter>
      </headerFooter>
    </customSheetView>
    <customSheetView guid="{47D3AB49-9599-4A16-951B-F48FEC1C0136}" scale="75" showGridLines="0">
      <selection activeCell="B9" sqref="B9"/>
      <pageMargins left="0.31496062992125984" right="0.31496062992125984" top="0.39370078740157483" bottom="0.39370078740157483" header="0.19685039370078741" footer="0.19685039370078741"/>
      <pageSetup paperSize="9" scale="65" orientation="landscape" horizontalDpi="300" verticalDpi="300" r:id="rId3"/>
      <headerFooter alignWithMargins="0">
        <oddFooter>&amp;L&amp;7&amp;D&amp;C&amp;7&amp;P&amp;R&amp;7&amp;F</oddFooter>
      </headerFooter>
    </customSheetView>
    <customSheetView guid="{ECE607A2-8A26-46E0-8BDC-E9AD788F604C}" scale="75" showPageBreaks="1" showGridLines="0" printArea="1" view="pageBreakPreview">
      <selection activeCell="L16" sqref="L16"/>
      <pageMargins left="0.31496062992125984" right="0.31496062992125984" top="0.39370078740157483" bottom="0.39370078740157483" header="0.19685039370078741" footer="0.19685039370078741"/>
      <pageSetup paperSize="9" scale="60" orientation="landscape" r:id="rId4"/>
      <headerFooter alignWithMargins="0">
        <oddFooter>&amp;L&amp;7&amp;D&amp;C&amp;7&amp;P&amp;R&amp;7&amp;F</oddFooter>
      </headerFooter>
    </customSheetView>
    <customSheetView guid="{FB1E0752-409C-4E7D-BCFE-7AEBEB8B5F0D}" scale="75" showPageBreaks="1" showGridLines="0" printArea="1" view="pageBreakPreview" topLeftCell="A7">
      <selection activeCell="B9" sqref="B9"/>
      <pageMargins left="0.31496062992125984" right="0.31496062992125984" top="0.39370078740157483" bottom="0.39370078740157483" header="0.19685039370078741" footer="0.19685039370078741"/>
      <pageSetup paperSize="9" scale="60" orientation="landscape" r:id="rId5"/>
      <headerFooter alignWithMargins="0">
        <oddFooter>&amp;L&amp;7&amp;D&amp;C&amp;7&amp;P&amp;R&amp;7&amp;F</oddFooter>
      </headerFooter>
    </customSheetView>
  </customSheetViews>
  <mergeCells count="5">
    <mergeCell ref="B6:B8"/>
    <mergeCell ref="C6:C8"/>
    <mergeCell ref="O1:Q1"/>
    <mergeCell ref="D6:Q6"/>
    <mergeCell ref="D7:Q7"/>
  </mergeCells>
  <phoneticPr fontId="0" type="noConversion"/>
  <pageMargins left="0.31496062992125984" right="0.31496062992125984" top="0.39370078740157483" bottom="0.39370078740157483" header="0.19685039370078741" footer="0.19685039370078741"/>
  <pageSetup paperSize="9" scale="59" orientation="landscape" r:id="rId6"/>
  <headerFooter alignWithMargins="0">
    <oddFooter>&amp;L&amp;7&amp;D&amp;C&amp;7&amp;P&amp;R&amp;7&amp;F</oddFooter>
  </headerFooter>
</worksheet>
</file>

<file path=xl/worksheets/sheet21.xml><?xml version="1.0" encoding="utf-8"?>
<worksheet xmlns="http://schemas.openxmlformats.org/spreadsheetml/2006/main" xmlns:r="http://schemas.openxmlformats.org/officeDocument/2006/relationships">
  <sheetPr codeName="Лист21">
    <tabColor rgb="FFFFFF00"/>
  </sheetPr>
  <dimension ref="B1:T360"/>
  <sheetViews>
    <sheetView workbookViewId="0"/>
  </sheetViews>
  <sheetFormatPr defaultRowHeight="16.5"/>
  <cols>
    <col min="1" max="1" width="1" style="238" customWidth="1"/>
    <col min="2" max="2" width="10.42578125" style="238" bestFit="1" customWidth="1"/>
    <col min="3" max="3" width="26.85546875" style="238" customWidth="1"/>
    <col min="4" max="4" width="11.28515625" style="238" bestFit="1" customWidth="1"/>
    <col min="5" max="5" width="18.28515625" style="238" customWidth="1"/>
    <col min="6" max="6" width="18" style="238" customWidth="1"/>
    <col min="7" max="7" width="16.5703125" style="238" customWidth="1"/>
    <col min="8" max="8" width="14.140625" style="238" customWidth="1"/>
    <col min="9" max="11" width="16.7109375" style="238" customWidth="1"/>
    <col min="12" max="12" width="13.140625" style="238" customWidth="1"/>
    <col min="13" max="13" width="13.28515625" style="238" customWidth="1"/>
    <col min="14" max="14" width="10.140625" style="238" customWidth="1"/>
    <col min="15" max="15" width="14.140625" style="238" customWidth="1"/>
    <col min="16" max="16" width="12.7109375" style="238" customWidth="1"/>
    <col min="17" max="17" width="10.7109375" style="238" customWidth="1"/>
    <col min="18" max="18" width="16.140625" style="238" bestFit="1" customWidth="1"/>
    <col min="19" max="19" width="9.140625" style="238"/>
    <col min="20" max="20" width="20.5703125" style="238" customWidth="1"/>
    <col min="21" max="16384" width="9.140625" style="238"/>
  </cols>
  <sheetData>
    <row r="1" spans="2:20" s="87" customFormat="1" ht="30" customHeight="1">
      <c r="B1" s="343"/>
      <c r="C1" s="344"/>
      <c r="D1" s="344"/>
      <c r="E1" s="344"/>
      <c r="F1" s="344"/>
      <c r="G1" s="344"/>
      <c r="H1" s="344"/>
      <c r="I1" s="344"/>
      <c r="J1" s="344"/>
      <c r="P1" s="1189" t="s">
        <v>1865</v>
      </c>
      <c r="Q1" s="1173"/>
      <c r="R1" s="1173"/>
    </row>
    <row r="2" spans="2:20" s="87" customFormat="1" ht="18">
      <c r="C2" s="39" t="str">
        <f>T!E18</f>
        <v>Номгӯи ташкилоти қарзӣ</v>
      </c>
      <c r="D2" s="344"/>
      <c r="E2" s="344"/>
      <c r="F2" s="344"/>
      <c r="G2" s="344"/>
      <c r="H2" s="344"/>
      <c r="I2" s="344"/>
      <c r="J2" s="344"/>
      <c r="K2" s="344"/>
      <c r="L2" s="344"/>
      <c r="M2" s="344"/>
      <c r="N2" s="344"/>
      <c r="O2" s="344"/>
      <c r="P2" s="86"/>
      <c r="Q2" s="345"/>
    </row>
    <row r="3" spans="2:20" s="87" customFormat="1" ht="18">
      <c r="B3" s="344"/>
      <c r="C3" s="346" t="str">
        <f>T!B10</f>
        <v>Ҳисобот дар санаи</v>
      </c>
      <c r="D3" s="344"/>
      <c r="E3" s="344"/>
      <c r="F3" s="344"/>
      <c r="G3" s="344"/>
      <c r="H3" s="344"/>
      <c r="I3" s="344"/>
      <c r="J3" s="344"/>
      <c r="K3" s="344"/>
      <c r="L3" s="344"/>
      <c r="M3" s="344"/>
      <c r="N3" s="344"/>
      <c r="O3" s="344"/>
      <c r="P3" s="344"/>
      <c r="Q3" s="345"/>
    </row>
    <row r="4" spans="2:20" s="87" customFormat="1" ht="18">
      <c r="B4" s="347" t="s">
        <v>683</v>
      </c>
      <c r="C4" s="348" t="str">
        <f>'List of Scedules'!B20</f>
        <v>ҶАДВАЛИ 09.01. ҚАРЗҲОИ ШАХСОНИ БА ТАШКИЛОТИ ҚАРЗӢ ВОБАСТА</v>
      </c>
      <c r="D4" s="349"/>
      <c r="E4" s="349"/>
      <c r="F4" s="349"/>
      <c r="G4" s="349"/>
      <c r="H4" s="349"/>
      <c r="I4" s="349"/>
      <c r="J4" s="349"/>
      <c r="K4" s="350"/>
      <c r="L4" s="350"/>
      <c r="M4" s="350"/>
      <c r="N4" s="350"/>
      <c r="O4" s="350"/>
      <c r="P4" s="350"/>
      <c r="Q4" s="345"/>
    </row>
    <row r="5" spans="2:20" s="237" customFormat="1" ht="19.5">
      <c r="B5" s="350"/>
      <c r="C5" s="350"/>
      <c r="D5" s="350"/>
      <c r="E5" s="350"/>
      <c r="F5" s="350"/>
      <c r="G5" s="350"/>
      <c r="H5" s="350"/>
      <c r="I5" s="350"/>
      <c r="J5" s="350"/>
      <c r="K5" s="350"/>
      <c r="L5" s="350"/>
      <c r="M5" s="350"/>
      <c r="N5" s="350"/>
      <c r="O5" s="350"/>
      <c r="P5" s="351"/>
      <c r="Q5" s="345"/>
      <c r="R5" s="87"/>
      <c r="S5" s="87"/>
    </row>
    <row r="6" spans="2:20" s="237" customFormat="1" ht="72">
      <c r="B6" s="370" t="s">
        <v>888</v>
      </c>
      <c r="C6" s="370" t="s">
        <v>1021</v>
      </c>
      <c r="D6" s="370" t="s">
        <v>1788</v>
      </c>
      <c r="E6" s="370" t="s">
        <v>1767</v>
      </c>
      <c r="F6" s="370" t="s">
        <v>560</v>
      </c>
      <c r="G6" s="370" t="s">
        <v>1798</v>
      </c>
      <c r="H6" s="370" t="s">
        <v>1799</v>
      </c>
      <c r="I6" s="370" t="s">
        <v>1800</v>
      </c>
      <c r="J6" s="370" t="s">
        <v>1792</v>
      </c>
      <c r="K6" s="370" t="s">
        <v>1793</v>
      </c>
      <c r="L6" s="370" t="s">
        <v>1764</v>
      </c>
      <c r="M6" s="370" t="s">
        <v>1795</v>
      </c>
      <c r="N6" s="370" t="s">
        <v>1801</v>
      </c>
      <c r="O6" s="370" t="s">
        <v>561</v>
      </c>
      <c r="P6" s="370" t="s">
        <v>1765</v>
      </c>
      <c r="Q6" s="371" t="s">
        <v>1766</v>
      </c>
      <c r="R6" s="370" t="s">
        <v>2268</v>
      </c>
      <c r="S6" s="87"/>
    </row>
    <row r="7" spans="2:20" s="237" customFormat="1" ht="18">
      <c r="B7" s="1079">
        <f>MAX(T10:T360)</f>
        <v>0</v>
      </c>
      <c r="C7" s="352" t="s">
        <v>816</v>
      </c>
      <c r="D7" s="352" t="s">
        <v>924</v>
      </c>
      <c r="E7" s="352" t="s">
        <v>925</v>
      </c>
      <c r="F7" s="352" t="s">
        <v>926</v>
      </c>
      <c r="G7" s="352" t="s">
        <v>927</v>
      </c>
      <c r="H7" s="352" t="s">
        <v>928</v>
      </c>
      <c r="I7" s="352" t="s">
        <v>929</v>
      </c>
      <c r="J7" s="352" t="s">
        <v>930</v>
      </c>
      <c r="K7" s="352" t="s">
        <v>931</v>
      </c>
      <c r="L7" s="352" t="s">
        <v>932</v>
      </c>
      <c r="M7" s="352" t="s">
        <v>258</v>
      </c>
      <c r="N7" s="352" t="s">
        <v>153</v>
      </c>
      <c r="O7" s="352" t="s">
        <v>154</v>
      </c>
      <c r="P7" s="352" t="s">
        <v>155</v>
      </c>
      <c r="Q7" s="352" t="s">
        <v>933</v>
      </c>
      <c r="R7" s="352" t="s">
        <v>1963</v>
      </c>
      <c r="S7" s="87"/>
      <c r="T7" s="1073"/>
    </row>
    <row r="8" spans="2:20" s="237" customFormat="1" ht="18">
      <c r="B8" s="372"/>
      <c r="C8" s="353">
        <v>1</v>
      </c>
      <c r="D8" s="353">
        <v>2</v>
      </c>
      <c r="E8" s="353">
        <v>3</v>
      </c>
      <c r="F8" s="353">
        <v>4</v>
      </c>
      <c r="G8" s="353">
        <v>5</v>
      </c>
      <c r="H8" s="353">
        <v>6</v>
      </c>
      <c r="I8" s="353">
        <v>7</v>
      </c>
      <c r="J8" s="353">
        <v>8</v>
      </c>
      <c r="K8" s="353">
        <v>9</v>
      </c>
      <c r="L8" s="353">
        <v>10</v>
      </c>
      <c r="M8" s="353">
        <v>11</v>
      </c>
      <c r="N8" s="353">
        <v>12</v>
      </c>
      <c r="O8" s="353">
        <v>13</v>
      </c>
      <c r="P8" s="353">
        <v>14</v>
      </c>
      <c r="Q8" s="353">
        <v>15</v>
      </c>
      <c r="R8" s="353">
        <v>16</v>
      </c>
      <c r="S8" s="87"/>
    </row>
    <row r="9" spans="2:20" s="237" customFormat="1" ht="18">
      <c r="B9" s="890" t="s">
        <v>1255</v>
      </c>
      <c r="C9" s="353"/>
      <c r="D9" s="353"/>
      <c r="E9" s="353"/>
      <c r="F9" s="353"/>
      <c r="G9" s="354"/>
      <c r="H9" s="353"/>
      <c r="I9" s="369">
        <f>SUM(I10:I170)</f>
        <v>0</v>
      </c>
      <c r="J9" s="369">
        <f>SUM(J10:J170)</f>
        <v>0</v>
      </c>
      <c r="K9" s="369">
        <f>SUM(K10:K170)</f>
        <v>0</v>
      </c>
      <c r="L9" s="353"/>
      <c r="M9" s="353"/>
      <c r="N9" s="353"/>
      <c r="O9" s="353"/>
      <c r="P9" s="369">
        <f>SUM(P10:P170)</f>
        <v>0</v>
      </c>
      <c r="Q9" s="353"/>
      <c r="R9" s="369">
        <f>SUM(R10:R170)</f>
        <v>0</v>
      </c>
      <c r="S9" s="87"/>
    </row>
    <row r="10" spans="2:20" s="237" customFormat="1" ht="18">
      <c r="B10" s="1098">
        <v>1</v>
      </c>
      <c r="C10" s="1099" t="s">
        <v>2658</v>
      </c>
      <c r="D10" s="1098" t="s">
        <v>1457</v>
      </c>
      <c r="E10" s="1074">
        <v>0</v>
      </c>
      <c r="F10" s="1100">
        <v>0</v>
      </c>
      <c r="G10" s="1101">
        <v>42573</v>
      </c>
      <c r="H10" s="1098">
        <v>1</v>
      </c>
      <c r="I10" s="1102">
        <v>0</v>
      </c>
      <c r="J10" s="1102">
        <v>0</v>
      </c>
      <c r="K10" s="1102">
        <v>0</v>
      </c>
      <c r="L10" s="1101">
        <v>0</v>
      </c>
      <c r="M10" s="1098">
        <v>0</v>
      </c>
      <c r="N10" s="1102">
        <v>14</v>
      </c>
      <c r="O10" s="1098">
        <v>1</v>
      </c>
      <c r="P10" s="1102">
        <v>0</v>
      </c>
      <c r="Q10" s="1075">
        <v>0</v>
      </c>
      <c r="R10" s="1103">
        <v>0</v>
      </c>
      <c r="S10" s="87"/>
      <c r="T10" s="1080">
        <f>SUMIF($B$10:$B$360,B10,$K$10:$K$360)</f>
        <v>0</v>
      </c>
    </row>
    <row r="11" spans="2:20" s="237" customFormat="1" ht="18">
      <c r="B11" s="1098"/>
      <c r="C11" s="1099"/>
      <c r="D11" s="1098"/>
      <c r="E11" s="1074"/>
      <c r="F11" s="1100"/>
      <c r="G11" s="1101"/>
      <c r="H11" s="1098"/>
      <c r="I11" s="1102"/>
      <c r="J11" s="1102"/>
      <c r="K11" s="1102"/>
      <c r="L11" s="1101"/>
      <c r="M11" s="1098"/>
      <c r="N11" s="1102"/>
      <c r="O11" s="1098"/>
      <c r="P11" s="1102"/>
      <c r="Q11" s="1075"/>
      <c r="R11" s="1103"/>
      <c r="S11" s="87"/>
      <c r="T11" s="1080">
        <f t="shared" ref="T11:T74" si="0">SUMIF($B$10:$B$360,B11,$K$10:$K$360)</f>
        <v>0</v>
      </c>
    </row>
    <row r="12" spans="2:20" s="237" customFormat="1" ht="18">
      <c r="B12" s="1098"/>
      <c r="C12" s="1099"/>
      <c r="D12" s="1098"/>
      <c r="E12" s="1074"/>
      <c r="F12" s="1100"/>
      <c r="G12" s="1101"/>
      <c r="H12" s="1098"/>
      <c r="I12" s="1102"/>
      <c r="J12" s="1102"/>
      <c r="K12" s="1102"/>
      <c r="L12" s="1101"/>
      <c r="M12" s="1098"/>
      <c r="N12" s="1102"/>
      <c r="O12" s="1098"/>
      <c r="P12" s="1102"/>
      <c r="Q12" s="1075"/>
      <c r="R12" s="1103"/>
      <c r="S12" s="87"/>
      <c r="T12" s="1080">
        <f t="shared" si="0"/>
        <v>0</v>
      </c>
    </row>
    <row r="13" spans="2:20" s="237" customFormat="1" ht="18">
      <c r="B13" s="1098"/>
      <c r="C13" s="1099"/>
      <c r="D13" s="1098"/>
      <c r="E13" s="1074"/>
      <c r="F13" s="1100"/>
      <c r="G13" s="1101"/>
      <c r="H13" s="1098"/>
      <c r="I13" s="1102"/>
      <c r="J13" s="1102"/>
      <c r="K13" s="1102"/>
      <c r="L13" s="1101"/>
      <c r="M13" s="1098"/>
      <c r="N13" s="1102"/>
      <c r="O13" s="1098"/>
      <c r="P13" s="1102"/>
      <c r="Q13" s="1075"/>
      <c r="R13" s="1103"/>
      <c r="S13" s="87"/>
      <c r="T13" s="1080">
        <f t="shared" si="0"/>
        <v>0</v>
      </c>
    </row>
    <row r="14" spans="2:20" s="237" customFormat="1" ht="18">
      <c r="B14" s="1098"/>
      <c r="C14" s="1099"/>
      <c r="D14" s="1098"/>
      <c r="E14" s="1074"/>
      <c r="F14" s="1100"/>
      <c r="G14" s="1101"/>
      <c r="H14" s="1098"/>
      <c r="I14" s="1102"/>
      <c r="J14" s="1102"/>
      <c r="K14" s="1102"/>
      <c r="L14" s="1101"/>
      <c r="M14" s="1098"/>
      <c r="N14" s="1102"/>
      <c r="O14" s="1098"/>
      <c r="P14" s="1102"/>
      <c r="Q14" s="1075"/>
      <c r="R14" s="1103"/>
      <c r="S14" s="87"/>
      <c r="T14" s="1080">
        <f t="shared" si="0"/>
        <v>0</v>
      </c>
    </row>
    <row r="15" spans="2:20" s="237" customFormat="1" ht="18">
      <c r="B15" s="1098"/>
      <c r="C15" s="1099"/>
      <c r="D15" s="1098"/>
      <c r="E15" s="1074"/>
      <c r="F15" s="1100"/>
      <c r="G15" s="1101"/>
      <c r="H15" s="1098"/>
      <c r="I15" s="1102"/>
      <c r="J15" s="1102"/>
      <c r="K15" s="1102"/>
      <c r="L15" s="1101"/>
      <c r="M15" s="1098"/>
      <c r="N15" s="1102"/>
      <c r="O15" s="1098"/>
      <c r="P15" s="1102"/>
      <c r="Q15" s="1075"/>
      <c r="R15" s="1103"/>
      <c r="S15" s="87"/>
      <c r="T15" s="1080">
        <f t="shared" si="0"/>
        <v>0</v>
      </c>
    </row>
    <row r="16" spans="2:20" s="237" customFormat="1" ht="18">
      <c r="B16" s="1098"/>
      <c r="C16" s="1099"/>
      <c r="D16" s="1098"/>
      <c r="E16" s="1074"/>
      <c r="F16" s="1100"/>
      <c r="G16" s="1101"/>
      <c r="H16" s="1098"/>
      <c r="I16" s="1102"/>
      <c r="J16" s="1102"/>
      <c r="K16" s="1102"/>
      <c r="L16" s="1101"/>
      <c r="M16" s="1098"/>
      <c r="N16" s="1102"/>
      <c r="O16" s="1098"/>
      <c r="P16" s="1102"/>
      <c r="Q16" s="1075"/>
      <c r="R16" s="1103"/>
      <c r="S16" s="87"/>
      <c r="T16" s="1080">
        <f t="shared" si="0"/>
        <v>0</v>
      </c>
    </row>
    <row r="17" spans="2:20" s="237" customFormat="1" ht="18">
      <c r="B17" s="1098"/>
      <c r="C17" s="1099"/>
      <c r="D17" s="1098"/>
      <c r="E17" s="1074"/>
      <c r="F17" s="1100"/>
      <c r="G17" s="1101"/>
      <c r="H17" s="1098"/>
      <c r="I17" s="1102"/>
      <c r="J17" s="1102"/>
      <c r="K17" s="1102"/>
      <c r="L17" s="1101"/>
      <c r="M17" s="1098"/>
      <c r="N17" s="1102"/>
      <c r="O17" s="1098"/>
      <c r="P17" s="1102"/>
      <c r="Q17" s="1075"/>
      <c r="R17" s="1103"/>
      <c r="S17" s="87"/>
      <c r="T17" s="1080">
        <f t="shared" si="0"/>
        <v>0</v>
      </c>
    </row>
    <row r="18" spans="2:20" s="237" customFormat="1" ht="18">
      <c r="B18" s="1098"/>
      <c r="C18" s="1099"/>
      <c r="D18" s="1098"/>
      <c r="E18" s="1074"/>
      <c r="F18" s="1100"/>
      <c r="G18" s="1101"/>
      <c r="H18" s="1098"/>
      <c r="I18" s="1102"/>
      <c r="J18" s="1102"/>
      <c r="K18" s="1102"/>
      <c r="L18" s="1101"/>
      <c r="M18" s="1098"/>
      <c r="N18" s="1102"/>
      <c r="O18" s="1098"/>
      <c r="P18" s="1102"/>
      <c r="Q18" s="1075"/>
      <c r="R18" s="1103"/>
      <c r="S18" s="87"/>
      <c r="T18" s="1080">
        <f t="shared" si="0"/>
        <v>0</v>
      </c>
    </row>
    <row r="19" spans="2:20" s="237" customFormat="1" ht="18">
      <c r="B19" s="1098"/>
      <c r="C19" s="1099"/>
      <c r="D19" s="1098"/>
      <c r="E19" s="1074"/>
      <c r="F19" s="1100"/>
      <c r="G19" s="1101"/>
      <c r="H19" s="1098"/>
      <c r="I19" s="1102"/>
      <c r="J19" s="1102"/>
      <c r="K19" s="1102"/>
      <c r="L19" s="1101"/>
      <c r="M19" s="1098"/>
      <c r="N19" s="1102"/>
      <c r="O19" s="1098"/>
      <c r="P19" s="1102"/>
      <c r="Q19" s="1075"/>
      <c r="R19" s="1103"/>
      <c r="S19" s="87"/>
      <c r="T19" s="1080">
        <f t="shared" si="0"/>
        <v>0</v>
      </c>
    </row>
    <row r="20" spans="2:20" s="237" customFormat="1" ht="18">
      <c r="B20" s="1098"/>
      <c r="C20" s="1099"/>
      <c r="D20" s="1098"/>
      <c r="E20" s="1074"/>
      <c r="F20" s="1100"/>
      <c r="G20" s="1101"/>
      <c r="H20" s="1098"/>
      <c r="I20" s="1102"/>
      <c r="J20" s="1102"/>
      <c r="K20" s="1102"/>
      <c r="L20" s="1101"/>
      <c r="M20" s="1098"/>
      <c r="N20" s="1102"/>
      <c r="O20" s="1098"/>
      <c r="P20" s="1102"/>
      <c r="Q20" s="1075"/>
      <c r="R20" s="1103"/>
      <c r="S20" s="87"/>
      <c r="T20" s="1080">
        <f t="shared" si="0"/>
        <v>0</v>
      </c>
    </row>
    <row r="21" spans="2:20" s="237" customFormat="1" ht="18">
      <c r="B21" s="1098"/>
      <c r="C21" s="1099"/>
      <c r="D21" s="1098"/>
      <c r="E21" s="1074"/>
      <c r="F21" s="1100"/>
      <c r="G21" s="1101"/>
      <c r="H21" s="1098"/>
      <c r="I21" s="1102"/>
      <c r="J21" s="1102"/>
      <c r="K21" s="1102"/>
      <c r="L21" s="1101"/>
      <c r="M21" s="1098"/>
      <c r="N21" s="1102"/>
      <c r="O21" s="1098"/>
      <c r="P21" s="1102"/>
      <c r="Q21" s="1075"/>
      <c r="R21" s="1103"/>
      <c r="S21" s="87"/>
      <c r="T21" s="1080">
        <f t="shared" si="0"/>
        <v>0</v>
      </c>
    </row>
    <row r="22" spans="2:20" s="237" customFormat="1" ht="18">
      <c r="B22" s="1098"/>
      <c r="C22" s="1099"/>
      <c r="D22" s="1098"/>
      <c r="E22" s="1074"/>
      <c r="F22" s="1100"/>
      <c r="G22" s="1101"/>
      <c r="H22" s="1098"/>
      <c r="I22" s="1102"/>
      <c r="J22" s="1102"/>
      <c r="K22" s="1102"/>
      <c r="L22" s="1101"/>
      <c r="M22" s="1098"/>
      <c r="N22" s="1102"/>
      <c r="O22" s="1098"/>
      <c r="P22" s="1102"/>
      <c r="Q22" s="1075"/>
      <c r="R22" s="1103"/>
      <c r="S22" s="87"/>
      <c r="T22" s="1080">
        <f t="shared" si="0"/>
        <v>0</v>
      </c>
    </row>
    <row r="23" spans="2:20" s="237" customFormat="1" ht="18">
      <c r="B23" s="1098"/>
      <c r="C23" s="1099"/>
      <c r="D23" s="1098"/>
      <c r="E23" s="1074"/>
      <c r="F23" s="1100"/>
      <c r="G23" s="1101"/>
      <c r="H23" s="1098"/>
      <c r="I23" s="1102"/>
      <c r="J23" s="1102"/>
      <c r="K23" s="1102"/>
      <c r="L23" s="1101"/>
      <c r="M23" s="1098"/>
      <c r="N23" s="1102"/>
      <c r="O23" s="1098"/>
      <c r="P23" s="1102"/>
      <c r="Q23" s="1075"/>
      <c r="R23" s="1103"/>
      <c r="S23" s="87"/>
      <c r="T23" s="1080">
        <f t="shared" si="0"/>
        <v>0</v>
      </c>
    </row>
    <row r="24" spans="2:20" s="237" customFormat="1" ht="18">
      <c r="B24" s="1098"/>
      <c r="C24" s="1099"/>
      <c r="D24" s="1098"/>
      <c r="E24" s="1074"/>
      <c r="F24" s="1100"/>
      <c r="G24" s="1101"/>
      <c r="H24" s="1098"/>
      <c r="I24" s="1102"/>
      <c r="J24" s="1102"/>
      <c r="K24" s="1102"/>
      <c r="L24" s="1101"/>
      <c r="M24" s="1098"/>
      <c r="N24" s="1102"/>
      <c r="O24" s="1098"/>
      <c r="P24" s="1102"/>
      <c r="Q24" s="1075"/>
      <c r="R24" s="1103"/>
      <c r="S24" s="87"/>
      <c r="T24" s="1080">
        <f t="shared" si="0"/>
        <v>0</v>
      </c>
    </row>
    <row r="25" spans="2:20" s="237" customFormat="1" ht="18">
      <c r="B25" s="1098"/>
      <c r="C25" s="1099"/>
      <c r="D25" s="1098"/>
      <c r="E25" s="1074"/>
      <c r="F25" s="1100"/>
      <c r="G25" s="1101"/>
      <c r="H25" s="1098"/>
      <c r="I25" s="1102"/>
      <c r="J25" s="1102"/>
      <c r="K25" s="1102"/>
      <c r="L25" s="1101"/>
      <c r="M25" s="1098"/>
      <c r="N25" s="1102"/>
      <c r="O25" s="1098"/>
      <c r="P25" s="1102"/>
      <c r="Q25" s="1075"/>
      <c r="R25" s="1103"/>
      <c r="S25" s="87"/>
      <c r="T25" s="1080">
        <f t="shared" si="0"/>
        <v>0</v>
      </c>
    </row>
    <row r="26" spans="2:20" s="237" customFormat="1" ht="18">
      <c r="B26" s="1098"/>
      <c r="C26" s="1099"/>
      <c r="D26" s="1098"/>
      <c r="E26" s="1074"/>
      <c r="F26" s="1100"/>
      <c r="G26" s="1101"/>
      <c r="H26" s="1098"/>
      <c r="I26" s="1102"/>
      <c r="J26" s="1102"/>
      <c r="K26" s="1102"/>
      <c r="L26" s="1101"/>
      <c r="M26" s="1098"/>
      <c r="N26" s="1102"/>
      <c r="O26" s="1098"/>
      <c r="P26" s="1102"/>
      <c r="Q26" s="1075"/>
      <c r="R26" s="1103"/>
      <c r="S26" s="87"/>
      <c r="T26" s="1080">
        <f t="shared" si="0"/>
        <v>0</v>
      </c>
    </row>
    <row r="27" spans="2:20" s="237" customFormat="1" ht="18">
      <c r="B27" s="1098"/>
      <c r="C27" s="1099"/>
      <c r="D27" s="1098"/>
      <c r="E27" s="1074"/>
      <c r="F27" s="1100"/>
      <c r="G27" s="1101"/>
      <c r="H27" s="1098"/>
      <c r="I27" s="1102"/>
      <c r="J27" s="1102"/>
      <c r="K27" s="1102"/>
      <c r="L27" s="1101"/>
      <c r="M27" s="1098"/>
      <c r="N27" s="1102"/>
      <c r="O27" s="1098"/>
      <c r="P27" s="1102"/>
      <c r="Q27" s="1075"/>
      <c r="R27" s="1103"/>
      <c r="S27" s="87"/>
      <c r="T27" s="1080">
        <f t="shared" si="0"/>
        <v>0</v>
      </c>
    </row>
    <row r="28" spans="2:20" s="237" customFormat="1" ht="18">
      <c r="B28" s="1098"/>
      <c r="C28" s="1099"/>
      <c r="D28" s="1098"/>
      <c r="E28" s="1074"/>
      <c r="F28" s="1100"/>
      <c r="G28" s="1101"/>
      <c r="H28" s="1098"/>
      <c r="I28" s="1102"/>
      <c r="J28" s="1102"/>
      <c r="K28" s="1102"/>
      <c r="L28" s="1101"/>
      <c r="M28" s="1098"/>
      <c r="N28" s="1102"/>
      <c r="O28" s="1098"/>
      <c r="P28" s="1102"/>
      <c r="Q28" s="1075"/>
      <c r="R28" s="1103"/>
      <c r="S28" s="87"/>
      <c r="T28" s="1080">
        <f t="shared" si="0"/>
        <v>0</v>
      </c>
    </row>
    <row r="29" spans="2:20" s="237" customFormat="1" ht="18">
      <c r="B29" s="1098"/>
      <c r="C29" s="1099"/>
      <c r="D29" s="1098"/>
      <c r="E29" s="1074"/>
      <c r="F29" s="1100"/>
      <c r="G29" s="1101"/>
      <c r="H29" s="1098"/>
      <c r="I29" s="1102"/>
      <c r="J29" s="1102"/>
      <c r="K29" s="1102"/>
      <c r="L29" s="1101"/>
      <c r="M29" s="1098"/>
      <c r="N29" s="1102"/>
      <c r="O29" s="1098"/>
      <c r="P29" s="1102"/>
      <c r="Q29" s="1075"/>
      <c r="R29" s="1103"/>
      <c r="S29" s="87"/>
      <c r="T29" s="1080">
        <f t="shared" si="0"/>
        <v>0</v>
      </c>
    </row>
    <row r="30" spans="2:20" s="237" customFormat="1" ht="18">
      <c r="B30" s="1098"/>
      <c r="C30" s="1099"/>
      <c r="D30" s="1098"/>
      <c r="E30" s="1074"/>
      <c r="F30" s="1100"/>
      <c r="G30" s="1101"/>
      <c r="H30" s="1098"/>
      <c r="I30" s="1102"/>
      <c r="J30" s="1102"/>
      <c r="K30" s="1102"/>
      <c r="L30" s="1101"/>
      <c r="M30" s="1098"/>
      <c r="N30" s="1102"/>
      <c r="O30" s="1098"/>
      <c r="P30" s="1102"/>
      <c r="Q30" s="1075"/>
      <c r="R30" s="1103"/>
      <c r="S30" s="87"/>
      <c r="T30" s="1080">
        <f t="shared" si="0"/>
        <v>0</v>
      </c>
    </row>
    <row r="31" spans="2:20" s="237" customFormat="1" ht="18">
      <c r="B31" s="1098"/>
      <c r="C31" s="1099"/>
      <c r="D31" s="1098"/>
      <c r="E31" s="1074"/>
      <c r="F31" s="1100"/>
      <c r="G31" s="1101"/>
      <c r="H31" s="1098"/>
      <c r="I31" s="1102"/>
      <c r="J31" s="1102"/>
      <c r="K31" s="1102"/>
      <c r="L31" s="1101"/>
      <c r="M31" s="1098"/>
      <c r="N31" s="1102"/>
      <c r="O31" s="1098"/>
      <c r="P31" s="1102"/>
      <c r="Q31" s="1075"/>
      <c r="R31" s="1103"/>
      <c r="S31" s="87"/>
      <c r="T31" s="1080">
        <f t="shared" si="0"/>
        <v>0</v>
      </c>
    </row>
    <row r="32" spans="2:20" s="237" customFormat="1" ht="18">
      <c r="B32" s="1098"/>
      <c r="C32" s="1099"/>
      <c r="D32" s="1098"/>
      <c r="E32" s="1074"/>
      <c r="F32" s="1100"/>
      <c r="G32" s="1101"/>
      <c r="H32" s="1098"/>
      <c r="I32" s="1102"/>
      <c r="J32" s="1102"/>
      <c r="K32" s="1102"/>
      <c r="L32" s="1101"/>
      <c r="M32" s="1098"/>
      <c r="N32" s="1102"/>
      <c r="O32" s="1098"/>
      <c r="P32" s="1102"/>
      <c r="Q32" s="1075"/>
      <c r="R32" s="1103"/>
      <c r="S32" s="87"/>
      <c r="T32" s="1080">
        <f t="shared" si="0"/>
        <v>0</v>
      </c>
    </row>
    <row r="33" spans="2:20" s="237" customFormat="1" ht="18">
      <c r="B33" s="1098"/>
      <c r="C33" s="1099"/>
      <c r="D33" s="1098"/>
      <c r="E33" s="1074"/>
      <c r="F33" s="1100"/>
      <c r="G33" s="1101"/>
      <c r="H33" s="1098"/>
      <c r="I33" s="1102"/>
      <c r="J33" s="1102"/>
      <c r="K33" s="1102"/>
      <c r="L33" s="1101"/>
      <c r="M33" s="1098"/>
      <c r="N33" s="1102"/>
      <c r="O33" s="1098"/>
      <c r="P33" s="1102"/>
      <c r="Q33" s="1075"/>
      <c r="R33" s="1103"/>
      <c r="S33" s="87"/>
      <c r="T33" s="1080">
        <f t="shared" si="0"/>
        <v>0</v>
      </c>
    </row>
    <row r="34" spans="2:20" s="237" customFormat="1" ht="18">
      <c r="B34" s="1098"/>
      <c r="C34" s="1099"/>
      <c r="D34" s="1098"/>
      <c r="E34" s="1074"/>
      <c r="F34" s="1100"/>
      <c r="G34" s="1101"/>
      <c r="H34" s="1098"/>
      <c r="I34" s="1102"/>
      <c r="J34" s="1102"/>
      <c r="K34" s="1102"/>
      <c r="L34" s="1101"/>
      <c r="M34" s="1098"/>
      <c r="N34" s="1102"/>
      <c r="O34" s="1098"/>
      <c r="P34" s="1102"/>
      <c r="Q34" s="1075"/>
      <c r="R34" s="1103"/>
      <c r="S34" s="87"/>
      <c r="T34" s="1080">
        <f t="shared" si="0"/>
        <v>0</v>
      </c>
    </row>
    <row r="35" spans="2:20" s="237" customFormat="1" ht="18">
      <c r="B35" s="1098"/>
      <c r="C35" s="1099"/>
      <c r="D35" s="1098"/>
      <c r="E35" s="1074"/>
      <c r="F35" s="1100"/>
      <c r="G35" s="1101"/>
      <c r="H35" s="1098"/>
      <c r="I35" s="1102"/>
      <c r="J35" s="1102"/>
      <c r="K35" s="1102"/>
      <c r="L35" s="1101"/>
      <c r="M35" s="1098"/>
      <c r="N35" s="1102"/>
      <c r="O35" s="1098"/>
      <c r="P35" s="1102"/>
      <c r="Q35" s="1075"/>
      <c r="R35" s="1103"/>
      <c r="S35" s="87"/>
      <c r="T35" s="1080">
        <f t="shared" si="0"/>
        <v>0</v>
      </c>
    </row>
    <row r="36" spans="2:20" s="237" customFormat="1" ht="18">
      <c r="B36" s="1098"/>
      <c r="C36" s="1099"/>
      <c r="D36" s="1098"/>
      <c r="E36" s="1074"/>
      <c r="F36" s="1100"/>
      <c r="G36" s="1101"/>
      <c r="H36" s="1098"/>
      <c r="I36" s="1102"/>
      <c r="J36" s="1102"/>
      <c r="K36" s="1102"/>
      <c r="L36" s="1101"/>
      <c r="M36" s="1098"/>
      <c r="N36" s="1102"/>
      <c r="O36" s="1098"/>
      <c r="P36" s="1102"/>
      <c r="Q36" s="1075"/>
      <c r="R36" s="1103"/>
      <c r="S36" s="87"/>
      <c r="T36" s="1080">
        <f t="shared" si="0"/>
        <v>0</v>
      </c>
    </row>
    <row r="37" spans="2:20" s="237" customFormat="1" ht="18">
      <c r="B37" s="1098"/>
      <c r="C37" s="1099"/>
      <c r="D37" s="1098"/>
      <c r="E37" s="1074"/>
      <c r="F37" s="1100"/>
      <c r="G37" s="1101"/>
      <c r="H37" s="1098"/>
      <c r="I37" s="1102"/>
      <c r="J37" s="1102"/>
      <c r="K37" s="1102"/>
      <c r="L37" s="1101"/>
      <c r="M37" s="1098"/>
      <c r="N37" s="1102"/>
      <c r="O37" s="1098"/>
      <c r="P37" s="1102"/>
      <c r="Q37" s="1075"/>
      <c r="R37" s="1103"/>
      <c r="S37" s="87"/>
      <c r="T37" s="1080">
        <f t="shared" si="0"/>
        <v>0</v>
      </c>
    </row>
    <row r="38" spans="2:20" s="237" customFormat="1" ht="18">
      <c r="B38" s="1098"/>
      <c r="C38" s="1099"/>
      <c r="D38" s="1098"/>
      <c r="E38" s="1074"/>
      <c r="F38" s="1100"/>
      <c r="G38" s="1101"/>
      <c r="H38" s="1098"/>
      <c r="I38" s="1102"/>
      <c r="J38" s="1102"/>
      <c r="K38" s="1102"/>
      <c r="L38" s="1101"/>
      <c r="M38" s="1098"/>
      <c r="N38" s="1102"/>
      <c r="O38" s="1098"/>
      <c r="P38" s="1102"/>
      <c r="Q38" s="1075"/>
      <c r="R38" s="1103"/>
      <c r="S38" s="87"/>
      <c r="T38" s="1080">
        <f t="shared" si="0"/>
        <v>0</v>
      </c>
    </row>
    <row r="39" spans="2:20" s="237" customFormat="1" ht="18">
      <c r="B39" s="1098"/>
      <c r="C39" s="1099"/>
      <c r="D39" s="1098"/>
      <c r="E39" s="1074"/>
      <c r="F39" s="1100"/>
      <c r="G39" s="1101"/>
      <c r="H39" s="1098"/>
      <c r="I39" s="1102"/>
      <c r="J39" s="1102"/>
      <c r="K39" s="1102"/>
      <c r="L39" s="1101"/>
      <c r="M39" s="1098"/>
      <c r="N39" s="1102"/>
      <c r="O39" s="1098"/>
      <c r="P39" s="1102"/>
      <c r="Q39" s="1075"/>
      <c r="R39" s="1103"/>
      <c r="S39" s="87"/>
      <c r="T39" s="1080">
        <f t="shared" si="0"/>
        <v>0</v>
      </c>
    </row>
    <row r="40" spans="2:20" s="237" customFormat="1" ht="18">
      <c r="B40" s="1098"/>
      <c r="C40" s="1099"/>
      <c r="D40" s="1098"/>
      <c r="E40" s="1074"/>
      <c r="F40" s="1100"/>
      <c r="G40" s="1101"/>
      <c r="H40" s="1098"/>
      <c r="I40" s="1102"/>
      <c r="J40" s="1102"/>
      <c r="K40" s="1102"/>
      <c r="L40" s="1101"/>
      <c r="M40" s="1098"/>
      <c r="N40" s="1102"/>
      <c r="O40" s="1098"/>
      <c r="P40" s="1102"/>
      <c r="Q40" s="1075"/>
      <c r="R40" s="1103"/>
      <c r="S40" s="87"/>
      <c r="T40" s="1080">
        <f t="shared" si="0"/>
        <v>0</v>
      </c>
    </row>
    <row r="41" spans="2:20" s="237" customFormat="1" ht="18">
      <c r="B41" s="1098"/>
      <c r="C41" s="1099"/>
      <c r="D41" s="1098"/>
      <c r="E41" s="1074"/>
      <c r="F41" s="1100"/>
      <c r="G41" s="1101"/>
      <c r="H41" s="1098"/>
      <c r="I41" s="1102"/>
      <c r="J41" s="1102"/>
      <c r="K41" s="1102"/>
      <c r="L41" s="1101"/>
      <c r="M41" s="1098"/>
      <c r="N41" s="1102"/>
      <c r="O41" s="1098"/>
      <c r="P41" s="1102"/>
      <c r="Q41" s="1075"/>
      <c r="R41" s="1103"/>
      <c r="S41" s="87"/>
      <c r="T41" s="1080">
        <f t="shared" si="0"/>
        <v>0</v>
      </c>
    </row>
    <row r="42" spans="2:20" s="237" customFormat="1" ht="18">
      <c r="B42" s="1098"/>
      <c r="C42" s="1099"/>
      <c r="D42" s="1098"/>
      <c r="E42" s="1074"/>
      <c r="F42" s="1100"/>
      <c r="G42" s="1101"/>
      <c r="H42" s="1098"/>
      <c r="I42" s="1102"/>
      <c r="J42" s="1102"/>
      <c r="K42" s="1102"/>
      <c r="L42" s="1101"/>
      <c r="M42" s="1098"/>
      <c r="N42" s="1102"/>
      <c r="O42" s="1098"/>
      <c r="P42" s="1102"/>
      <c r="Q42" s="1075"/>
      <c r="R42" s="1103"/>
      <c r="S42" s="87"/>
      <c r="T42" s="1080">
        <f t="shared" si="0"/>
        <v>0</v>
      </c>
    </row>
    <row r="43" spans="2:20" s="237" customFormat="1" ht="18">
      <c r="B43" s="1098"/>
      <c r="C43" s="1099"/>
      <c r="D43" s="1098"/>
      <c r="E43" s="1074"/>
      <c r="F43" s="1100"/>
      <c r="G43" s="1101"/>
      <c r="H43" s="1098"/>
      <c r="I43" s="1102"/>
      <c r="J43" s="1102"/>
      <c r="K43" s="1102"/>
      <c r="L43" s="1101"/>
      <c r="M43" s="1098"/>
      <c r="N43" s="1102"/>
      <c r="O43" s="1098"/>
      <c r="P43" s="1102"/>
      <c r="Q43" s="1075"/>
      <c r="R43" s="1103"/>
      <c r="S43" s="87"/>
      <c r="T43" s="1080">
        <f t="shared" si="0"/>
        <v>0</v>
      </c>
    </row>
    <row r="44" spans="2:20" s="237" customFormat="1" ht="18">
      <c r="B44" s="1098"/>
      <c r="C44" s="1099"/>
      <c r="D44" s="1098"/>
      <c r="E44" s="1074"/>
      <c r="F44" s="1100"/>
      <c r="G44" s="1101"/>
      <c r="H44" s="1098"/>
      <c r="I44" s="1102"/>
      <c r="J44" s="1102"/>
      <c r="K44" s="1102"/>
      <c r="L44" s="1101"/>
      <c r="M44" s="1098"/>
      <c r="N44" s="1102"/>
      <c r="O44" s="1098"/>
      <c r="P44" s="1102"/>
      <c r="Q44" s="1075"/>
      <c r="R44" s="1103"/>
      <c r="S44" s="87"/>
      <c r="T44" s="1080">
        <f t="shared" si="0"/>
        <v>0</v>
      </c>
    </row>
    <row r="45" spans="2:20" s="237" customFormat="1" ht="18">
      <c r="B45" s="1098"/>
      <c r="C45" s="1099"/>
      <c r="D45" s="1098"/>
      <c r="E45" s="1074"/>
      <c r="F45" s="1100"/>
      <c r="G45" s="1101"/>
      <c r="H45" s="1098"/>
      <c r="I45" s="1102"/>
      <c r="J45" s="1102"/>
      <c r="K45" s="1102"/>
      <c r="L45" s="1101"/>
      <c r="M45" s="1098"/>
      <c r="N45" s="1102"/>
      <c r="O45" s="1098"/>
      <c r="P45" s="1102"/>
      <c r="Q45" s="1075"/>
      <c r="R45" s="1103"/>
      <c r="S45" s="87"/>
      <c r="T45" s="1080">
        <f t="shared" si="0"/>
        <v>0</v>
      </c>
    </row>
    <row r="46" spans="2:20" s="237" customFormat="1" ht="18">
      <c r="B46" s="1098"/>
      <c r="C46" s="1099"/>
      <c r="D46" s="1098"/>
      <c r="E46" s="1074"/>
      <c r="F46" s="1100"/>
      <c r="G46" s="1101"/>
      <c r="H46" s="1098"/>
      <c r="I46" s="1102"/>
      <c r="J46" s="1102"/>
      <c r="K46" s="1102"/>
      <c r="L46" s="1101"/>
      <c r="M46" s="1098"/>
      <c r="N46" s="1102"/>
      <c r="O46" s="1098"/>
      <c r="P46" s="1102"/>
      <c r="Q46" s="1075"/>
      <c r="R46" s="1103"/>
      <c r="S46" s="87"/>
      <c r="T46" s="1080">
        <f t="shared" si="0"/>
        <v>0</v>
      </c>
    </row>
    <row r="47" spans="2:20" ht="18">
      <c r="B47" s="1098"/>
      <c r="C47" s="1099"/>
      <c r="D47" s="1098"/>
      <c r="E47" s="1074"/>
      <c r="F47" s="1100"/>
      <c r="G47" s="1101"/>
      <c r="H47" s="1098"/>
      <c r="I47" s="1102"/>
      <c r="J47" s="1102"/>
      <c r="K47" s="1102"/>
      <c r="L47" s="1101"/>
      <c r="M47" s="1098"/>
      <c r="N47" s="1102"/>
      <c r="O47" s="1098"/>
      <c r="P47" s="1102"/>
      <c r="Q47" s="1075"/>
      <c r="R47" s="1103"/>
      <c r="S47" s="91"/>
      <c r="T47" s="1080">
        <f t="shared" si="0"/>
        <v>0</v>
      </c>
    </row>
    <row r="48" spans="2:20" ht="18">
      <c r="B48" s="1098"/>
      <c r="C48" s="1099"/>
      <c r="D48" s="1098"/>
      <c r="E48" s="1074"/>
      <c r="F48" s="1100"/>
      <c r="G48" s="1101"/>
      <c r="H48" s="1098"/>
      <c r="I48" s="1102"/>
      <c r="J48" s="1102"/>
      <c r="K48" s="1102"/>
      <c r="L48" s="1101"/>
      <c r="M48" s="1098"/>
      <c r="N48" s="1102"/>
      <c r="O48" s="1098"/>
      <c r="P48" s="1102"/>
      <c r="Q48" s="1075"/>
      <c r="R48" s="1103"/>
      <c r="S48" s="91"/>
      <c r="T48" s="1080">
        <f t="shared" si="0"/>
        <v>0</v>
      </c>
    </row>
    <row r="49" spans="2:20" ht="18">
      <c r="B49" s="1098"/>
      <c r="C49" s="1099"/>
      <c r="D49" s="1098"/>
      <c r="E49" s="1074"/>
      <c r="F49" s="1100"/>
      <c r="G49" s="1101"/>
      <c r="H49" s="1098"/>
      <c r="I49" s="1102"/>
      <c r="J49" s="1102"/>
      <c r="K49" s="1102"/>
      <c r="L49" s="1101"/>
      <c r="M49" s="1098"/>
      <c r="N49" s="1102"/>
      <c r="O49" s="1098"/>
      <c r="P49" s="1102"/>
      <c r="Q49" s="1075"/>
      <c r="R49" s="1103"/>
      <c r="S49" s="91"/>
      <c r="T49" s="1080">
        <f t="shared" si="0"/>
        <v>0</v>
      </c>
    </row>
    <row r="50" spans="2:20" ht="18">
      <c r="B50" s="1098"/>
      <c r="C50" s="1099"/>
      <c r="D50" s="1098"/>
      <c r="E50" s="1074"/>
      <c r="F50" s="1100"/>
      <c r="G50" s="1101"/>
      <c r="H50" s="1098"/>
      <c r="I50" s="1102"/>
      <c r="J50" s="1102"/>
      <c r="K50" s="1102"/>
      <c r="L50" s="1101"/>
      <c r="M50" s="1098"/>
      <c r="N50" s="1102"/>
      <c r="O50" s="1098"/>
      <c r="P50" s="1102"/>
      <c r="Q50" s="1075"/>
      <c r="R50" s="1103"/>
      <c r="S50" s="91"/>
      <c r="T50" s="1080">
        <f t="shared" si="0"/>
        <v>0</v>
      </c>
    </row>
    <row r="51" spans="2:20" ht="18">
      <c r="B51" s="1098"/>
      <c r="C51" s="1099"/>
      <c r="D51" s="1098"/>
      <c r="E51" s="1074"/>
      <c r="F51" s="1100"/>
      <c r="G51" s="1101"/>
      <c r="H51" s="1098"/>
      <c r="I51" s="1102"/>
      <c r="J51" s="1102"/>
      <c r="K51" s="1102"/>
      <c r="L51" s="1101"/>
      <c r="M51" s="1098"/>
      <c r="N51" s="1102"/>
      <c r="O51" s="1098"/>
      <c r="P51" s="1102"/>
      <c r="Q51" s="1075"/>
      <c r="R51" s="1103"/>
      <c r="S51" s="91"/>
      <c r="T51" s="1080">
        <f t="shared" si="0"/>
        <v>0</v>
      </c>
    </row>
    <row r="52" spans="2:20" ht="18">
      <c r="B52" s="1098"/>
      <c r="C52" s="1099"/>
      <c r="D52" s="1098"/>
      <c r="E52" s="1074"/>
      <c r="F52" s="1100"/>
      <c r="G52" s="1101"/>
      <c r="H52" s="1098"/>
      <c r="I52" s="1102"/>
      <c r="J52" s="1102"/>
      <c r="K52" s="1102"/>
      <c r="L52" s="1101"/>
      <c r="M52" s="1098"/>
      <c r="N52" s="1102"/>
      <c r="O52" s="1098"/>
      <c r="P52" s="1102"/>
      <c r="Q52" s="1075"/>
      <c r="R52" s="1103"/>
      <c r="S52" s="91"/>
      <c r="T52" s="1080">
        <f t="shared" si="0"/>
        <v>0</v>
      </c>
    </row>
    <row r="53" spans="2:20" ht="18">
      <c r="B53" s="1098"/>
      <c r="C53" s="1099"/>
      <c r="D53" s="1098"/>
      <c r="E53" s="1074"/>
      <c r="F53" s="1100"/>
      <c r="G53" s="1101"/>
      <c r="H53" s="1098"/>
      <c r="I53" s="1102"/>
      <c r="J53" s="1102"/>
      <c r="K53" s="1102"/>
      <c r="L53" s="1101"/>
      <c r="M53" s="1098"/>
      <c r="N53" s="1102"/>
      <c r="O53" s="1098"/>
      <c r="P53" s="1102"/>
      <c r="Q53" s="1075"/>
      <c r="R53" s="1103"/>
      <c r="S53" s="91"/>
      <c r="T53" s="1080">
        <f t="shared" si="0"/>
        <v>0</v>
      </c>
    </row>
    <row r="54" spans="2:20" ht="18">
      <c r="B54" s="1098"/>
      <c r="C54" s="1099"/>
      <c r="D54" s="1098"/>
      <c r="E54" s="1074"/>
      <c r="F54" s="1100"/>
      <c r="G54" s="1101"/>
      <c r="H54" s="1098"/>
      <c r="I54" s="1102"/>
      <c r="J54" s="1102"/>
      <c r="K54" s="1102"/>
      <c r="L54" s="1101"/>
      <c r="M54" s="1098"/>
      <c r="N54" s="1102"/>
      <c r="O54" s="1098"/>
      <c r="P54" s="1102"/>
      <c r="Q54" s="1075"/>
      <c r="R54" s="1103"/>
      <c r="S54" s="91"/>
      <c r="T54" s="1080">
        <f t="shared" si="0"/>
        <v>0</v>
      </c>
    </row>
    <row r="55" spans="2:20" ht="18">
      <c r="B55" s="1098"/>
      <c r="C55" s="1099"/>
      <c r="D55" s="1098"/>
      <c r="E55" s="1074"/>
      <c r="F55" s="1100"/>
      <c r="G55" s="1101"/>
      <c r="H55" s="1098"/>
      <c r="I55" s="1102"/>
      <c r="J55" s="1102"/>
      <c r="K55" s="1102"/>
      <c r="L55" s="1101"/>
      <c r="M55" s="1098"/>
      <c r="N55" s="1102"/>
      <c r="O55" s="1098"/>
      <c r="P55" s="1102"/>
      <c r="Q55" s="1075"/>
      <c r="R55" s="1103"/>
      <c r="S55" s="91"/>
      <c r="T55" s="1080">
        <f t="shared" si="0"/>
        <v>0</v>
      </c>
    </row>
    <row r="56" spans="2:20" ht="18">
      <c r="B56" s="1098"/>
      <c r="C56" s="1099"/>
      <c r="D56" s="1098"/>
      <c r="E56" s="1074"/>
      <c r="F56" s="1100"/>
      <c r="G56" s="1101"/>
      <c r="H56" s="1098"/>
      <c r="I56" s="1102"/>
      <c r="J56" s="1102"/>
      <c r="K56" s="1102"/>
      <c r="L56" s="1101"/>
      <c r="M56" s="1098"/>
      <c r="N56" s="1102"/>
      <c r="O56" s="1098"/>
      <c r="P56" s="1102"/>
      <c r="Q56" s="1075"/>
      <c r="R56" s="1103"/>
      <c r="S56" s="91"/>
      <c r="T56" s="1080">
        <f t="shared" si="0"/>
        <v>0</v>
      </c>
    </row>
    <row r="57" spans="2:20" ht="18">
      <c r="B57" s="1098"/>
      <c r="C57" s="1099"/>
      <c r="D57" s="1098"/>
      <c r="E57" s="1074"/>
      <c r="F57" s="1100"/>
      <c r="G57" s="1101"/>
      <c r="H57" s="1098"/>
      <c r="I57" s="1102"/>
      <c r="J57" s="1102"/>
      <c r="K57" s="1102"/>
      <c r="L57" s="1101"/>
      <c r="M57" s="1098"/>
      <c r="N57" s="1102"/>
      <c r="O57" s="1098"/>
      <c r="P57" s="1102"/>
      <c r="Q57" s="1075"/>
      <c r="R57" s="1103"/>
      <c r="S57" s="91"/>
      <c r="T57" s="1080">
        <f t="shared" si="0"/>
        <v>0</v>
      </c>
    </row>
    <row r="58" spans="2:20" ht="18">
      <c r="B58" s="1098"/>
      <c r="C58" s="1099"/>
      <c r="D58" s="1098"/>
      <c r="E58" s="1074"/>
      <c r="F58" s="1100"/>
      <c r="G58" s="1101"/>
      <c r="H58" s="1098"/>
      <c r="I58" s="1102"/>
      <c r="J58" s="1102"/>
      <c r="K58" s="1102"/>
      <c r="L58" s="1101"/>
      <c r="M58" s="1098"/>
      <c r="N58" s="1102"/>
      <c r="O58" s="1098"/>
      <c r="P58" s="1102"/>
      <c r="Q58" s="1075"/>
      <c r="R58" s="1103"/>
      <c r="S58" s="91"/>
      <c r="T58" s="1080">
        <f t="shared" si="0"/>
        <v>0</v>
      </c>
    </row>
    <row r="59" spans="2:20" ht="18">
      <c r="B59" s="1098"/>
      <c r="C59" s="1099"/>
      <c r="D59" s="1098"/>
      <c r="E59" s="1074"/>
      <c r="F59" s="1100"/>
      <c r="G59" s="1101"/>
      <c r="H59" s="1098"/>
      <c r="I59" s="1102"/>
      <c r="J59" s="1102"/>
      <c r="K59" s="1102"/>
      <c r="L59" s="1101"/>
      <c r="M59" s="1098"/>
      <c r="N59" s="1102"/>
      <c r="O59" s="1098"/>
      <c r="P59" s="1102"/>
      <c r="Q59" s="1075"/>
      <c r="R59" s="1103"/>
      <c r="S59" s="91"/>
      <c r="T59" s="1080">
        <f t="shared" si="0"/>
        <v>0</v>
      </c>
    </row>
    <row r="60" spans="2:20" ht="18">
      <c r="B60" s="1098"/>
      <c r="C60" s="1099"/>
      <c r="D60" s="1098"/>
      <c r="E60" s="1074"/>
      <c r="F60" s="1100"/>
      <c r="G60" s="1101"/>
      <c r="H60" s="1098"/>
      <c r="I60" s="1102"/>
      <c r="J60" s="1102"/>
      <c r="K60" s="1102"/>
      <c r="L60" s="1101"/>
      <c r="M60" s="1098"/>
      <c r="N60" s="1102"/>
      <c r="O60" s="1098"/>
      <c r="P60" s="1102"/>
      <c r="Q60" s="1075"/>
      <c r="R60" s="1103"/>
      <c r="S60" s="91"/>
      <c r="T60" s="1080">
        <f t="shared" si="0"/>
        <v>0</v>
      </c>
    </row>
    <row r="61" spans="2:20" ht="18">
      <c r="B61" s="1098"/>
      <c r="C61" s="1099"/>
      <c r="D61" s="1098"/>
      <c r="E61" s="1074"/>
      <c r="F61" s="1100"/>
      <c r="G61" s="1101"/>
      <c r="H61" s="1098"/>
      <c r="I61" s="1102"/>
      <c r="J61" s="1102"/>
      <c r="K61" s="1102"/>
      <c r="L61" s="1101"/>
      <c r="M61" s="1098"/>
      <c r="N61" s="1102"/>
      <c r="O61" s="1098"/>
      <c r="P61" s="1102"/>
      <c r="Q61" s="1075"/>
      <c r="R61" s="1103"/>
      <c r="S61" s="91"/>
      <c r="T61" s="1080">
        <f t="shared" si="0"/>
        <v>0</v>
      </c>
    </row>
    <row r="62" spans="2:20" ht="18">
      <c r="B62" s="1098"/>
      <c r="C62" s="1099"/>
      <c r="D62" s="1098"/>
      <c r="E62" s="1074"/>
      <c r="F62" s="1100"/>
      <c r="G62" s="1101"/>
      <c r="H62" s="1098"/>
      <c r="I62" s="1102"/>
      <c r="J62" s="1102"/>
      <c r="K62" s="1102"/>
      <c r="L62" s="1101"/>
      <c r="M62" s="1098"/>
      <c r="N62" s="1102"/>
      <c r="O62" s="1098"/>
      <c r="P62" s="1102"/>
      <c r="Q62" s="1075"/>
      <c r="R62" s="1103"/>
      <c r="S62" s="91"/>
      <c r="T62" s="1080">
        <f t="shared" si="0"/>
        <v>0</v>
      </c>
    </row>
    <row r="63" spans="2:20" ht="18">
      <c r="B63" s="1098"/>
      <c r="C63" s="1099"/>
      <c r="D63" s="1098"/>
      <c r="E63" s="1074"/>
      <c r="F63" s="1100"/>
      <c r="G63" s="1101"/>
      <c r="H63" s="1098"/>
      <c r="I63" s="1102"/>
      <c r="J63" s="1102"/>
      <c r="K63" s="1102"/>
      <c r="L63" s="1101"/>
      <c r="M63" s="1098"/>
      <c r="N63" s="1102"/>
      <c r="O63" s="1098"/>
      <c r="P63" s="1102"/>
      <c r="Q63" s="1075"/>
      <c r="R63" s="1103"/>
      <c r="S63" s="91"/>
      <c r="T63" s="1080">
        <f t="shared" si="0"/>
        <v>0</v>
      </c>
    </row>
    <row r="64" spans="2:20" ht="18">
      <c r="B64" s="1098"/>
      <c r="C64" s="1099"/>
      <c r="D64" s="1098"/>
      <c r="E64" s="1074"/>
      <c r="F64" s="1100"/>
      <c r="G64" s="1101"/>
      <c r="H64" s="1098"/>
      <c r="I64" s="1102"/>
      <c r="J64" s="1102"/>
      <c r="K64" s="1102"/>
      <c r="L64" s="1101"/>
      <c r="M64" s="1098"/>
      <c r="N64" s="1102"/>
      <c r="O64" s="1098"/>
      <c r="P64" s="1102"/>
      <c r="Q64" s="1075"/>
      <c r="R64" s="1103"/>
      <c r="S64" s="91"/>
      <c r="T64" s="1080">
        <f t="shared" si="0"/>
        <v>0</v>
      </c>
    </row>
    <row r="65" spans="2:20">
      <c r="B65" s="1098"/>
      <c r="C65" s="1099"/>
      <c r="D65" s="1098"/>
      <c r="E65" s="1074"/>
      <c r="F65" s="1100"/>
      <c r="G65" s="1101"/>
      <c r="H65" s="1098"/>
      <c r="I65" s="1102"/>
      <c r="J65" s="1102"/>
      <c r="K65" s="1102"/>
      <c r="L65" s="1101"/>
      <c r="M65" s="1098"/>
      <c r="N65" s="1102"/>
      <c r="O65" s="1098"/>
      <c r="P65" s="1102"/>
      <c r="Q65" s="1075"/>
      <c r="R65" s="1103"/>
      <c r="T65" s="1080">
        <f t="shared" si="0"/>
        <v>0</v>
      </c>
    </row>
    <row r="66" spans="2:20">
      <c r="B66" s="1098"/>
      <c r="C66" s="1099"/>
      <c r="D66" s="1098"/>
      <c r="E66" s="1074"/>
      <c r="F66" s="1100"/>
      <c r="G66" s="1101"/>
      <c r="H66" s="1098"/>
      <c r="I66" s="1102"/>
      <c r="J66" s="1102"/>
      <c r="K66" s="1102"/>
      <c r="L66" s="1101"/>
      <c r="M66" s="1098"/>
      <c r="N66" s="1102"/>
      <c r="O66" s="1098"/>
      <c r="P66" s="1102"/>
      <c r="Q66" s="1075"/>
      <c r="R66" s="1103"/>
      <c r="T66" s="1080">
        <f t="shared" si="0"/>
        <v>0</v>
      </c>
    </row>
    <row r="67" spans="2:20">
      <c r="B67" s="1098"/>
      <c r="C67" s="1099"/>
      <c r="D67" s="1098"/>
      <c r="E67" s="1074"/>
      <c r="F67" s="1100"/>
      <c r="G67" s="1101"/>
      <c r="H67" s="1098"/>
      <c r="I67" s="1102"/>
      <c r="J67" s="1102"/>
      <c r="K67" s="1102"/>
      <c r="L67" s="1101"/>
      <c r="M67" s="1098"/>
      <c r="N67" s="1102"/>
      <c r="O67" s="1098"/>
      <c r="P67" s="1102"/>
      <c r="Q67" s="1075"/>
      <c r="R67" s="1103"/>
      <c r="T67" s="1080">
        <f t="shared" si="0"/>
        <v>0</v>
      </c>
    </row>
    <row r="68" spans="2:20">
      <c r="B68" s="1098"/>
      <c r="C68" s="1099"/>
      <c r="D68" s="1098"/>
      <c r="E68" s="1074"/>
      <c r="F68" s="1100"/>
      <c r="G68" s="1101"/>
      <c r="H68" s="1098"/>
      <c r="I68" s="1102"/>
      <c r="J68" s="1102"/>
      <c r="K68" s="1102"/>
      <c r="L68" s="1101"/>
      <c r="M68" s="1098"/>
      <c r="N68" s="1102"/>
      <c r="O68" s="1098"/>
      <c r="P68" s="1102"/>
      <c r="Q68" s="1075"/>
      <c r="R68" s="1103"/>
      <c r="T68" s="1080">
        <f t="shared" si="0"/>
        <v>0</v>
      </c>
    </row>
    <row r="69" spans="2:20">
      <c r="B69" s="1098"/>
      <c r="C69" s="1099"/>
      <c r="D69" s="1098"/>
      <c r="E69" s="1074"/>
      <c r="F69" s="1100"/>
      <c r="G69" s="1101"/>
      <c r="H69" s="1098"/>
      <c r="I69" s="1102"/>
      <c r="J69" s="1102"/>
      <c r="K69" s="1102"/>
      <c r="L69" s="1101"/>
      <c r="M69" s="1098"/>
      <c r="N69" s="1102"/>
      <c r="O69" s="1098"/>
      <c r="P69" s="1102"/>
      <c r="Q69" s="1075"/>
      <c r="R69" s="1103"/>
      <c r="T69" s="1080">
        <f t="shared" si="0"/>
        <v>0</v>
      </c>
    </row>
    <row r="70" spans="2:20">
      <c r="B70" s="1098"/>
      <c r="C70" s="1099"/>
      <c r="D70" s="1098"/>
      <c r="E70" s="1074"/>
      <c r="F70" s="1100"/>
      <c r="G70" s="1101"/>
      <c r="H70" s="1098"/>
      <c r="I70" s="1102"/>
      <c r="J70" s="1102"/>
      <c r="K70" s="1102"/>
      <c r="L70" s="1101"/>
      <c r="M70" s="1098"/>
      <c r="N70" s="1102"/>
      <c r="O70" s="1098"/>
      <c r="P70" s="1102"/>
      <c r="Q70" s="1075"/>
      <c r="R70" s="1103"/>
      <c r="T70" s="1080">
        <f t="shared" si="0"/>
        <v>0</v>
      </c>
    </row>
    <row r="71" spans="2:20">
      <c r="B71" s="1098"/>
      <c r="C71" s="1099"/>
      <c r="D71" s="1098"/>
      <c r="E71" s="1074"/>
      <c r="F71" s="1100"/>
      <c r="G71" s="1101"/>
      <c r="H71" s="1098"/>
      <c r="I71" s="1102"/>
      <c r="J71" s="1102"/>
      <c r="K71" s="1102"/>
      <c r="L71" s="1101"/>
      <c r="M71" s="1098"/>
      <c r="N71" s="1102"/>
      <c r="O71" s="1098"/>
      <c r="P71" s="1102"/>
      <c r="Q71" s="1075"/>
      <c r="R71" s="1103"/>
      <c r="T71" s="1080">
        <f t="shared" si="0"/>
        <v>0</v>
      </c>
    </row>
    <row r="72" spans="2:20">
      <c r="B72" s="1098"/>
      <c r="C72" s="1099"/>
      <c r="D72" s="1098"/>
      <c r="E72" s="1074"/>
      <c r="F72" s="1100"/>
      <c r="G72" s="1101"/>
      <c r="H72" s="1098"/>
      <c r="I72" s="1102"/>
      <c r="J72" s="1102"/>
      <c r="K72" s="1102"/>
      <c r="L72" s="1101"/>
      <c r="M72" s="1098"/>
      <c r="N72" s="1102"/>
      <c r="O72" s="1098"/>
      <c r="P72" s="1102"/>
      <c r="Q72" s="1075"/>
      <c r="R72" s="1103"/>
      <c r="T72" s="1080">
        <f t="shared" si="0"/>
        <v>0</v>
      </c>
    </row>
    <row r="73" spans="2:20" ht="18">
      <c r="B73" s="1006"/>
      <c r="C73" s="1007"/>
      <c r="D73" s="1008"/>
      <c r="E73" s="1009"/>
      <c r="F73" s="1009"/>
      <c r="G73" s="1010"/>
      <c r="H73" s="1008"/>
      <c r="I73" s="1011"/>
      <c r="J73" s="1011"/>
      <c r="K73" s="1011"/>
      <c r="L73" s="1012"/>
      <c r="M73" s="1008"/>
      <c r="N73" s="1013"/>
      <c r="O73" s="1008"/>
      <c r="P73" s="1011"/>
      <c r="Q73" s="1014"/>
      <c r="R73" s="1015"/>
      <c r="T73" s="1080">
        <f t="shared" si="0"/>
        <v>0</v>
      </c>
    </row>
    <row r="74" spans="2:20" ht="18">
      <c r="B74" s="1006"/>
      <c r="C74" s="1007"/>
      <c r="D74" s="1008"/>
      <c r="E74" s="1009"/>
      <c r="F74" s="1009"/>
      <c r="G74" s="1010"/>
      <c r="H74" s="1008"/>
      <c r="I74" s="1011"/>
      <c r="J74" s="1011"/>
      <c r="K74" s="1011"/>
      <c r="L74" s="1012"/>
      <c r="M74" s="1008"/>
      <c r="N74" s="1013"/>
      <c r="O74" s="1008"/>
      <c r="P74" s="1011"/>
      <c r="Q74" s="1014"/>
      <c r="R74" s="1015"/>
      <c r="T74" s="1080">
        <f t="shared" si="0"/>
        <v>0</v>
      </c>
    </row>
    <row r="75" spans="2:20" ht="18">
      <c r="B75" s="1006"/>
      <c r="C75" s="1007"/>
      <c r="D75" s="1008"/>
      <c r="E75" s="1009"/>
      <c r="F75" s="1009"/>
      <c r="G75" s="1010"/>
      <c r="H75" s="1008"/>
      <c r="I75" s="1011"/>
      <c r="J75" s="1011"/>
      <c r="K75" s="1011"/>
      <c r="L75" s="1012"/>
      <c r="M75" s="1008"/>
      <c r="N75" s="1013"/>
      <c r="O75" s="1008"/>
      <c r="P75" s="1011"/>
      <c r="Q75" s="1014"/>
      <c r="R75" s="1015"/>
      <c r="T75" s="1080">
        <f t="shared" ref="T75:T138" si="1">SUMIF($B$10:$B$360,B75,$K$10:$K$360)</f>
        <v>0</v>
      </c>
    </row>
    <row r="76" spans="2:20" ht="18">
      <c r="B76" s="1006"/>
      <c r="C76" s="1007"/>
      <c r="D76" s="1008"/>
      <c r="E76" s="1009"/>
      <c r="F76" s="1009"/>
      <c r="G76" s="1010"/>
      <c r="H76" s="1008"/>
      <c r="I76" s="1011"/>
      <c r="J76" s="1011"/>
      <c r="K76" s="1011"/>
      <c r="L76" s="1012"/>
      <c r="M76" s="1008"/>
      <c r="N76" s="1013"/>
      <c r="O76" s="1008"/>
      <c r="P76" s="1011"/>
      <c r="Q76" s="1014"/>
      <c r="R76" s="1015"/>
      <c r="T76" s="1080">
        <f t="shared" si="1"/>
        <v>0</v>
      </c>
    </row>
    <row r="77" spans="2:20" ht="18">
      <c r="B77" s="1006"/>
      <c r="C77" s="1007"/>
      <c r="D77" s="1008"/>
      <c r="E77" s="1009"/>
      <c r="F77" s="1009"/>
      <c r="G77" s="1010"/>
      <c r="H77" s="1008"/>
      <c r="I77" s="1011"/>
      <c r="J77" s="1011"/>
      <c r="K77" s="1011"/>
      <c r="L77" s="1012"/>
      <c r="M77" s="1008"/>
      <c r="N77" s="1013"/>
      <c r="O77" s="1008"/>
      <c r="P77" s="1011"/>
      <c r="Q77" s="1014"/>
      <c r="R77" s="1015"/>
      <c r="T77" s="1080">
        <f t="shared" si="1"/>
        <v>0</v>
      </c>
    </row>
    <row r="78" spans="2:20" ht="18">
      <c r="B78" s="1006"/>
      <c r="C78" s="1007"/>
      <c r="D78" s="1008"/>
      <c r="E78" s="1009"/>
      <c r="F78" s="1009"/>
      <c r="G78" s="1010"/>
      <c r="H78" s="1008"/>
      <c r="I78" s="1011"/>
      <c r="J78" s="1011"/>
      <c r="K78" s="1011"/>
      <c r="L78" s="1012"/>
      <c r="M78" s="1008"/>
      <c r="N78" s="1013"/>
      <c r="O78" s="1008"/>
      <c r="P78" s="1011"/>
      <c r="Q78" s="1014"/>
      <c r="R78" s="1015"/>
      <c r="T78" s="1080">
        <f t="shared" si="1"/>
        <v>0</v>
      </c>
    </row>
    <row r="79" spans="2:20" ht="18">
      <c r="B79" s="1006"/>
      <c r="C79" s="1007"/>
      <c r="D79" s="1008"/>
      <c r="E79" s="1009"/>
      <c r="F79" s="1009"/>
      <c r="G79" s="1010"/>
      <c r="H79" s="1008"/>
      <c r="I79" s="1011"/>
      <c r="J79" s="1011"/>
      <c r="K79" s="1011"/>
      <c r="L79" s="1012"/>
      <c r="M79" s="1008"/>
      <c r="N79" s="1013"/>
      <c r="O79" s="1008"/>
      <c r="P79" s="1011"/>
      <c r="Q79" s="1014"/>
      <c r="R79" s="1015"/>
      <c r="T79" s="1080">
        <f t="shared" si="1"/>
        <v>0</v>
      </c>
    </row>
    <row r="80" spans="2:20" ht="18">
      <c r="B80" s="1006"/>
      <c r="C80" s="1007"/>
      <c r="D80" s="1008"/>
      <c r="E80" s="1009"/>
      <c r="F80" s="1009"/>
      <c r="G80" s="1010"/>
      <c r="H80" s="1008"/>
      <c r="I80" s="1011"/>
      <c r="J80" s="1011"/>
      <c r="K80" s="1011"/>
      <c r="L80" s="1012"/>
      <c r="M80" s="1008"/>
      <c r="N80" s="1013"/>
      <c r="O80" s="1008"/>
      <c r="P80" s="1011"/>
      <c r="Q80" s="1014"/>
      <c r="R80" s="1015"/>
      <c r="T80" s="1080">
        <f t="shared" si="1"/>
        <v>0</v>
      </c>
    </row>
    <row r="81" spans="2:20" ht="18">
      <c r="B81" s="1006"/>
      <c r="C81" s="1007"/>
      <c r="D81" s="1008"/>
      <c r="E81" s="1009"/>
      <c r="F81" s="1009"/>
      <c r="G81" s="1010"/>
      <c r="H81" s="1008"/>
      <c r="I81" s="1011"/>
      <c r="J81" s="1011"/>
      <c r="K81" s="1011"/>
      <c r="L81" s="1012"/>
      <c r="M81" s="1008"/>
      <c r="N81" s="1013"/>
      <c r="O81" s="1008"/>
      <c r="P81" s="1011"/>
      <c r="Q81" s="1014"/>
      <c r="R81" s="1015"/>
      <c r="T81" s="1080">
        <f t="shared" si="1"/>
        <v>0</v>
      </c>
    </row>
    <row r="82" spans="2:20" ht="18">
      <c r="B82" s="1006"/>
      <c r="C82" s="1007"/>
      <c r="D82" s="1008"/>
      <c r="E82" s="1009"/>
      <c r="F82" s="1009"/>
      <c r="G82" s="1010"/>
      <c r="H82" s="1008"/>
      <c r="I82" s="1011"/>
      <c r="J82" s="1011"/>
      <c r="K82" s="1011"/>
      <c r="L82" s="1012"/>
      <c r="M82" s="1008"/>
      <c r="N82" s="1013"/>
      <c r="O82" s="1008"/>
      <c r="P82" s="1011"/>
      <c r="Q82" s="1014"/>
      <c r="R82" s="1015"/>
      <c r="T82" s="1080">
        <f t="shared" si="1"/>
        <v>0</v>
      </c>
    </row>
    <row r="83" spans="2:20" ht="18">
      <c r="B83" s="1006"/>
      <c r="C83" s="1007"/>
      <c r="D83" s="1008"/>
      <c r="E83" s="1009"/>
      <c r="F83" s="1009"/>
      <c r="G83" s="1010"/>
      <c r="H83" s="1008"/>
      <c r="I83" s="1011"/>
      <c r="J83" s="1011"/>
      <c r="K83" s="1011"/>
      <c r="L83" s="1012"/>
      <c r="M83" s="1008"/>
      <c r="N83" s="1013"/>
      <c r="O83" s="1008"/>
      <c r="P83" s="1011"/>
      <c r="Q83" s="1014"/>
      <c r="R83" s="1015"/>
      <c r="T83" s="1080">
        <f t="shared" si="1"/>
        <v>0</v>
      </c>
    </row>
    <row r="84" spans="2:20" ht="18">
      <c r="B84" s="1006"/>
      <c r="C84" s="1007"/>
      <c r="D84" s="1008"/>
      <c r="E84" s="1009"/>
      <c r="F84" s="1009"/>
      <c r="G84" s="1010"/>
      <c r="H84" s="1008"/>
      <c r="I84" s="1011"/>
      <c r="J84" s="1011"/>
      <c r="K84" s="1011"/>
      <c r="L84" s="1012"/>
      <c r="M84" s="1008"/>
      <c r="N84" s="1013"/>
      <c r="O84" s="1008"/>
      <c r="P84" s="1011"/>
      <c r="Q84" s="1014"/>
      <c r="R84" s="1015"/>
      <c r="T84" s="1080">
        <f t="shared" si="1"/>
        <v>0</v>
      </c>
    </row>
    <row r="85" spans="2:20" ht="18">
      <c r="B85" s="1006"/>
      <c r="C85" s="1007"/>
      <c r="D85" s="1008"/>
      <c r="E85" s="1009"/>
      <c r="F85" s="1009"/>
      <c r="G85" s="1010"/>
      <c r="H85" s="1008"/>
      <c r="I85" s="1011"/>
      <c r="J85" s="1011"/>
      <c r="K85" s="1011"/>
      <c r="L85" s="1012"/>
      <c r="M85" s="1008"/>
      <c r="N85" s="1013"/>
      <c r="O85" s="1008"/>
      <c r="P85" s="1011"/>
      <c r="Q85" s="1014"/>
      <c r="R85" s="1015"/>
      <c r="T85" s="1080">
        <f t="shared" si="1"/>
        <v>0</v>
      </c>
    </row>
    <row r="86" spans="2:20" ht="18">
      <c r="B86" s="1006"/>
      <c r="C86" s="1007"/>
      <c r="D86" s="1008"/>
      <c r="E86" s="1009"/>
      <c r="F86" s="1009"/>
      <c r="G86" s="1010"/>
      <c r="H86" s="1008"/>
      <c r="I86" s="1011"/>
      <c r="J86" s="1011"/>
      <c r="K86" s="1011"/>
      <c r="L86" s="1012"/>
      <c r="M86" s="1008"/>
      <c r="N86" s="1013"/>
      <c r="O86" s="1008"/>
      <c r="P86" s="1011"/>
      <c r="Q86" s="1014"/>
      <c r="R86" s="1015"/>
      <c r="T86" s="1080">
        <f t="shared" si="1"/>
        <v>0</v>
      </c>
    </row>
    <row r="87" spans="2:20" ht="18">
      <c r="B87" s="1006"/>
      <c r="C87" s="1007"/>
      <c r="D87" s="1008"/>
      <c r="E87" s="1009"/>
      <c r="F87" s="1009"/>
      <c r="G87" s="1010"/>
      <c r="H87" s="1008"/>
      <c r="I87" s="1011"/>
      <c r="J87" s="1011"/>
      <c r="K87" s="1011"/>
      <c r="L87" s="1012"/>
      <c r="M87" s="1008"/>
      <c r="N87" s="1013"/>
      <c r="O87" s="1008"/>
      <c r="P87" s="1011"/>
      <c r="Q87" s="1014"/>
      <c r="R87" s="1015"/>
      <c r="T87" s="1080">
        <f t="shared" si="1"/>
        <v>0</v>
      </c>
    </row>
    <row r="88" spans="2:20" ht="18">
      <c r="B88" s="1006"/>
      <c r="C88" s="1007"/>
      <c r="D88" s="1008"/>
      <c r="E88" s="1009"/>
      <c r="F88" s="1009"/>
      <c r="G88" s="1010"/>
      <c r="H88" s="1008"/>
      <c r="I88" s="1011"/>
      <c r="J88" s="1011"/>
      <c r="K88" s="1011"/>
      <c r="L88" s="1012"/>
      <c r="M88" s="1008"/>
      <c r="N88" s="1013"/>
      <c r="O88" s="1008"/>
      <c r="P88" s="1011"/>
      <c r="Q88" s="1014"/>
      <c r="R88" s="1015"/>
      <c r="T88" s="1080">
        <f t="shared" si="1"/>
        <v>0</v>
      </c>
    </row>
    <row r="89" spans="2:20" ht="18">
      <c r="B89" s="1006"/>
      <c r="C89" s="1007"/>
      <c r="D89" s="1008"/>
      <c r="E89" s="1009"/>
      <c r="F89" s="1009"/>
      <c r="G89" s="1010"/>
      <c r="H89" s="1008"/>
      <c r="I89" s="1011"/>
      <c r="J89" s="1011"/>
      <c r="K89" s="1011"/>
      <c r="L89" s="1012"/>
      <c r="M89" s="1008"/>
      <c r="N89" s="1013"/>
      <c r="O89" s="1008"/>
      <c r="P89" s="1011"/>
      <c r="Q89" s="1014"/>
      <c r="R89" s="1015"/>
      <c r="T89" s="1080">
        <f t="shared" si="1"/>
        <v>0</v>
      </c>
    </row>
    <row r="90" spans="2:20" ht="18">
      <c r="B90" s="1006"/>
      <c r="C90" s="1007"/>
      <c r="D90" s="1008"/>
      <c r="E90" s="1009"/>
      <c r="F90" s="1009"/>
      <c r="G90" s="1010"/>
      <c r="H90" s="1008"/>
      <c r="I90" s="1011"/>
      <c r="J90" s="1011"/>
      <c r="K90" s="1011"/>
      <c r="L90" s="1012"/>
      <c r="M90" s="1008"/>
      <c r="N90" s="1013"/>
      <c r="O90" s="1008"/>
      <c r="P90" s="1011"/>
      <c r="Q90" s="1014"/>
      <c r="R90" s="1015"/>
      <c r="T90" s="1080">
        <f t="shared" si="1"/>
        <v>0</v>
      </c>
    </row>
    <row r="91" spans="2:20" ht="18">
      <c r="B91" s="1006"/>
      <c r="C91" s="1007"/>
      <c r="D91" s="1008"/>
      <c r="E91" s="1009"/>
      <c r="F91" s="1009"/>
      <c r="G91" s="1010"/>
      <c r="H91" s="1008"/>
      <c r="I91" s="1011"/>
      <c r="J91" s="1011"/>
      <c r="K91" s="1011"/>
      <c r="L91" s="1012"/>
      <c r="M91" s="1008"/>
      <c r="N91" s="1013"/>
      <c r="O91" s="1008"/>
      <c r="P91" s="1011"/>
      <c r="Q91" s="1014"/>
      <c r="R91" s="1015"/>
      <c r="T91" s="1080">
        <f t="shared" si="1"/>
        <v>0</v>
      </c>
    </row>
    <row r="92" spans="2:20" ht="18">
      <c r="B92" s="1006"/>
      <c r="C92" s="1007"/>
      <c r="D92" s="1008"/>
      <c r="E92" s="1009"/>
      <c r="F92" s="1009"/>
      <c r="G92" s="1010"/>
      <c r="H92" s="1008"/>
      <c r="I92" s="1011"/>
      <c r="J92" s="1011"/>
      <c r="K92" s="1011"/>
      <c r="L92" s="1012"/>
      <c r="M92" s="1008"/>
      <c r="N92" s="1013"/>
      <c r="O92" s="1008"/>
      <c r="P92" s="1011"/>
      <c r="Q92" s="1014"/>
      <c r="R92" s="1015"/>
      <c r="T92" s="1080">
        <f t="shared" si="1"/>
        <v>0</v>
      </c>
    </row>
    <row r="93" spans="2:20" ht="18">
      <c r="B93" s="1006"/>
      <c r="C93" s="1007"/>
      <c r="D93" s="1008"/>
      <c r="E93" s="1009"/>
      <c r="F93" s="1009"/>
      <c r="G93" s="1010"/>
      <c r="H93" s="1008"/>
      <c r="I93" s="1011"/>
      <c r="J93" s="1011"/>
      <c r="K93" s="1011"/>
      <c r="L93" s="1012"/>
      <c r="M93" s="1008"/>
      <c r="N93" s="1013"/>
      <c r="O93" s="1008"/>
      <c r="P93" s="1011"/>
      <c r="Q93" s="1014"/>
      <c r="R93" s="1015"/>
      <c r="T93" s="1080">
        <f t="shared" si="1"/>
        <v>0</v>
      </c>
    </row>
    <row r="94" spans="2:20" ht="18">
      <c r="B94" s="1006"/>
      <c r="C94" s="1007"/>
      <c r="D94" s="1008"/>
      <c r="E94" s="1009"/>
      <c r="F94" s="1009"/>
      <c r="G94" s="1010"/>
      <c r="H94" s="1008"/>
      <c r="I94" s="1011"/>
      <c r="J94" s="1011"/>
      <c r="K94" s="1011"/>
      <c r="L94" s="1012"/>
      <c r="M94" s="1008"/>
      <c r="N94" s="1013"/>
      <c r="O94" s="1008"/>
      <c r="P94" s="1011"/>
      <c r="Q94" s="1014"/>
      <c r="R94" s="1015"/>
      <c r="T94" s="1080">
        <f t="shared" si="1"/>
        <v>0</v>
      </c>
    </row>
    <row r="95" spans="2:20" ht="18">
      <c r="B95" s="1006"/>
      <c r="C95" s="1007"/>
      <c r="D95" s="1008"/>
      <c r="E95" s="1009"/>
      <c r="F95" s="1009"/>
      <c r="G95" s="1010"/>
      <c r="H95" s="1008"/>
      <c r="I95" s="1011"/>
      <c r="J95" s="1011"/>
      <c r="K95" s="1011"/>
      <c r="L95" s="1012"/>
      <c r="M95" s="1008"/>
      <c r="N95" s="1013"/>
      <c r="O95" s="1008"/>
      <c r="P95" s="1011"/>
      <c r="Q95" s="1014"/>
      <c r="R95" s="1015"/>
      <c r="T95" s="1080">
        <f t="shared" si="1"/>
        <v>0</v>
      </c>
    </row>
    <row r="96" spans="2:20" ht="18">
      <c r="B96" s="1006"/>
      <c r="C96" s="1007"/>
      <c r="D96" s="1008"/>
      <c r="E96" s="1009"/>
      <c r="F96" s="1009"/>
      <c r="G96" s="1010"/>
      <c r="H96" s="1008"/>
      <c r="I96" s="1011"/>
      <c r="J96" s="1011"/>
      <c r="K96" s="1011"/>
      <c r="L96" s="1012"/>
      <c r="M96" s="1008"/>
      <c r="N96" s="1013"/>
      <c r="O96" s="1008"/>
      <c r="P96" s="1011"/>
      <c r="Q96" s="1014"/>
      <c r="R96" s="1015"/>
      <c r="T96" s="1080">
        <f t="shared" si="1"/>
        <v>0</v>
      </c>
    </row>
    <row r="97" spans="2:20" ht="18">
      <c r="B97" s="1006"/>
      <c r="C97" s="1007"/>
      <c r="D97" s="1008"/>
      <c r="E97" s="1009"/>
      <c r="F97" s="1009"/>
      <c r="G97" s="1010"/>
      <c r="H97" s="1008"/>
      <c r="I97" s="1011"/>
      <c r="J97" s="1011"/>
      <c r="K97" s="1011"/>
      <c r="L97" s="1012"/>
      <c r="M97" s="1008"/>
      <c r="N97" s="1013"/>
      <c r="O97" s="1008"/>
      <c r="P97" s="1011"/>
      <c r="Q97" s="1014"/>
      <c r="R97" s="1015"/>
      <c r="T97" s="1080">
        <f t="shared" si="1"/>
        <v>0</v>
      </c>
    </row>
    <row r="98" spans="2:20" ht="18">
      <c r="B98" s="1006"/>
      <c r="C98" s="1007"/>
      <c r="D98" s="1008"/>
      <c r="E98" s="1009"/>
      <c r="F98" s="1009"/>
      <c r="G98" s="1010"/>
      <c r="H98" s="1008"/>
      <c r="I98" s="1011"/>
      <c r="J98" s="1011"/>
      <c r="K98" s="1011"/>
      <c r="L98" s="1012"/>
      <c r="M98" s="1008"/>
      <c r="N98" s="1013"/>
      <c r="O98" s="1008"/>
      <c r="P98" s="1011"/>
      <c r="Q98" s="1014"/>
      <c r="R98" s="1015"/>
      <c r="T98" s="1080">
        <f t="shared" si="1"/>
        <v>0</v>
      </c>
    </row>
    <row r="99" spans="2:20" ht="18">
      <c r="B99" s="1006"/>
      <c r="C99" s="1007"/>
      <c r="D99" s="1008"/>
      <c r="E99" s="1009"/>
      <c r="F99" s="1009"/>
      <c r="G99" s="1010"/>
      <c r="H99" s="1008"/>
      <c r="I99" s="1011"/>
      <c r="J99" s="1011"/>
      <c r="K99" s="1011"/>
      <c r="L99" s="1012"/>
      <c r="M99" s="1008"/>
      <c r="N99" s="1013"/>
      <c r="O99" s="1008"/>
      <c r="P99" s="1011"/>
      <c r="Q99" s="1014"/>
      <c r="R99" s="1015"/>
      <c r="T99" s="1080">
        <f t="shared" si="1"/>
        <v>0</v>
      </c>
    </row>
    <row r="100" spans="2:20" ht="18">
      <c r="B100" s="1006"/>
      <c r="C100" s="1007"/>
      <c r="D100" s="1008"/>
      <c r="E100" s="1009"/>
      <c r="F100" s="1009"/>
      <c r="G100" s="1010"/>
      <c r="H100" s="1008"/>
      <c r="I100" s="1011"/>
      <c r="J100" s="1011"/>
      <c r="K100" s="1011"/>
      <c r="L100" s="1012"/>
      <c r="M100" s="1008"/>
      <c r="N100" s="1013"/>
      <c r="O100" s="1008"/>
      <c r="P100" s="1011"/>
      <c r="Q100" s="1014"/>
      <c r="R100" s="1015"/>
      <c r="T100" s="1080">
        <f t="shared" si="1"/>
        <v>0</v>
      </c>
    </row>
    <row r="101" spans="2:20" ht="18">
      <c r="B101" s="1006"/>
      <c r="C101" s="1007"/>
      <c r="D101" s="1008"/>
      <c r="E101" s="1009"/>
      <c r="F101" s="1009"/>
      <c r="G101" s="1010"/>
      <c r="H101" s="1008"/>
      <c r="I101" s="1011"/>
      <c r="J101" s="1011"/>
      <c r="K101" s="1011"/>
      <c r="L101" s="1012"/>
      <c r="M101" s="1008"/>
      <c r="N101" s="1013"/>
      <c r="O101" s="1008"/>
      <c r="P101" s="1011"/>
      <c r="Q101" s="1014"/>
      <c r="R101" s="1015"/>
      <c r="T101" s="1080">
        <f t="shared" si="1"/>
        <v>0</v>
      </c>
    </row>
    <row r="102" spans="2:20" ht="18">
      <c r="B102" s="1006"/>
      <c r="C102" s="1007"/>
      <c r="D102" s="1008"/>
      <c r="E102" s="1009"/>
      <c r="F102" s="1009"/>
      <c r="G102" s="1010"/>
      <c r="H102" s="1008"/>
      <c r="I102" s="1011"/>
      <c r="J102" s="1011"/>
      <c r="K102" s="1011"/>
      <c r="L102" s="1012"/>
      <c r="M102" s="1008"/>
      <c r="N102" s="1013"/>
      <c r="O102" s="1008"/>
      <c r="P102" s="1011"/>
      <c r="Q102" s="1014"/>
      <c r="R102" s="1015"/>
      <c r="T102" s="1080">
        <f t="shared" si="1"/>
        <v>0</v>
      </c>
    </row>
    <row r="103" spans="2:20" ht="18">
      <c r="B103" s="1006"/>
      <c r="C103" s="1007"/>
      <c r="D103" s="1008"/>
      <c r="E103" s="1009"/>
      <c r="F103" s="1009"/>
      <c r="G103" s="1010"/>
      <c r="H103" s="1008"/>
      <c r="I103" s="1011"/>
      <c r="J103" s="1011"/>
      <c r="K103" s="1011"/>
      <c r="L103" s="1012"/>
      <c r="M103" s="1008"/>
      <c r="N103" s="1013"/>
      <c r="O103" s="1008"/>
      <c r="P103" s="1011"/>
      <c r="Q103" s="1014"/>
      <c r="R103" s="1015"/>
      <c r="T103" s="1080">
        <f t="shared" si="1"/>
        <v>0</v>
      </c>
    </row>
    <row r="104" spans="2:20" ht="18">
      <c r="B104" s="1006"/>
      <c r="C104" s="1007"/>
      <c r="D104" s="1008"/>
      <c r="E104" s="1009"/>
      <c r="F104" s="1009"/>
      <c r="G104" s="1010"/>
      <c r="H104" s="1008"/>
      <c r="I104" s="1011"/>
      <c r="J104" s="1011"/>
      <c r="K104" s="1011"/>
      <c r="L104" s="1012"/>
      <c r="M104" s="1008"/>
      <c r="N104" s="1013"/>
      <c r="O104" s="1008"/>
      <c r="P104" s="1011"/>
      <c r="Q104" s="1014"/>
      <c r="R104" s="1015"/>
      <c r="T104" s="1080">
        <f t="shared" si="1"/>
        <v>0</v>
      </c>
    </row>
    <row r="105" spans="2:20" ht="18">
      <c r="B105" s="1006"/>
      <c r="C105" s="1007"/>
      <c r="D105" s="1008"/>
      <c r="E105" s="1009"/>
      <c r="F105" s="1009"/>
      <c r="G105" s="1010"/>
      <c r="H105" s="1008"/>
      <c r="I105" s="1011"/>
      <c r="J105" s="1011"/>
      <c r="K105" s="1011"/>
      <c r="L105" s="1012"/>
      <c r="M105" s="1008"/>
      <c r="N105" s="1013"/>
      <c r="O105" s="1008"/>
      <c r="P105" s="1011"/>
      <c r="Q105" s="1014"/>
      <c r="R105" s="1015"/>
      <c r="T105" s="1080">
        <f t="shared" si="1"/>
        <v>0</v>
      </c>
    </row>
    <row r="106" spans="2:20" ht="18">
      <c r="B106" s="1006"/>
      <c r="C106" s="1007"/>
      <c r="D106" s="1008"/>
      <c r="E106" s="1009"/>
      <c r="F106" s="1009"/>
      <c r="G106" s="1010"/>
      <c r="H106" s="1008"/>
      <c r="I106" s="1011"/>
      <c r="J106" s="1011"/>
      <c r="K106" s="1011"/>
      <c r="L106" s="1012"/>
      <c r="M106" s="1008"/>
      <c r="N106" s="1013"/>
      <c r="O106" s="1008"/>
      <c r="P106" s="1011"/>
      <c r="Q106" s="1014"/>
      <c r="R106" s="1015"/>
      <c r="T106" s="1080">
        <f t="shared" si="1"/>
        <v>0</v>
      </c>
    </row>
    <row r="107" spans="2:20" ht="18">
      <c r="B107" s="1006"/>
      <c r="C107" s="1007"/>
      <c r="D107" s="1008"/>
      <c r="E107" s="1009"/>
      <c r="F107" s="1009"/>
      <c r="G107" s="1010"/>
      <c r="H107" s="1008"/>
      <c r="I107" s="1011"/>
      <c r="J107" s="1011"/>
      <c r="K107" s="1011"/>
      <c r="L107" s="1012"/>
      <c r="M107" s="1008"/>
      <c r="N107" s="1013"/>
      <c r="O107" s="1008"/>
      <c r="P107" s="1011"/>
      <c r="Q107" s="1014"/>
      <c r="R107" s="1015"/>
      <c r="T107" s="1080">
        <f t="shared" si="1"/>
        <v>0</v>
      </c>
    </row>
    <row r="108" spans="2:20" ht="18">
      <c r="B108" s="1006"/>
      <c r="C108" s="1007"/>
      <c r="D108" s="1008"/>
      <c r="E108" s="1009"/>
      <c r="F108" s="1009"/>
      <c r="G108" s="1010"/>
      <c r="H108" s="1008"/>
      <c r="I108" s="1011"/>
      <c r="J108" s="1011"/>
      <c r="K108" s="1011"/>
      <c r="L108" s="1012"/>
      <c r="M108" s="1008"/>
      <c r="N108" s="1013"/>
      <c r="O108" s="1008"/>
      <c r="P108" s="1011"/>
      <c r="Q108" s="1014"/>
      <c r="R108" s="1015"/>
      <c r="T108" s="1080">
        <f t="shared" si="1"/>
        <v>0</v>
      </c>
    </row>
    <row r="109" spans="2:20" ht="18">
      <c r="B109" s="1006"/>
      <c r="C109" s="1007"/>
      <c r="D109" s="1008"/>
      <c r="E109" s="1009"/>
      <c r="F109" s="1009"/>
      <c r="G109" s="1010"/>
      <c r="H109" s="1008"/>
      <c r="I109" s="1011"/>
      <c r="J109" s="1011"/>
      <c r="K109" s="1011"/>
      <c r="L109" s="1012"/>
      <c r="M109" s="1008"/>
      <c r="N109" s="1013"/>
      <c r="O109" s="1008"/>
      <c r="P109" s="1011"/>
      <c r="Q109" s="1014"/>
      <c r="R109" s="1015"/>
      <c r="T109" s="1080">
        <f t="shared" si="1"/>
        <v>0</v>
      </c>
    </row>
    <row r="110" spans="2:20" ht="18">
      <c r="B110" s="1006"/>
      <c r="C110" s="1007"/>
      <c r="D110" s="1008"/>
      <c r="E110" s="1009"/>
      <c r="F110" s="1009"/>
      <c r="G110" s="1010"/>
      <c r="H110" s="1008"/>
      <c r="I110" s="1011"/>
      <c r="J110" s="1011"/>
      <c r="K110" s="1011"/>
      <c r="L110" s="1012"/>
      <c r="M110" s="1008"/>
      <c r="N110" s="1013"/>
      <c r="O110" s="1008"/>
      <c r="P110" s="1011"/>
      <c r="Q110" s="1014"/>
      <c r="R110" s="1015"/>
      <c r="T110" s="1080">
        <f t="shared" si="1"/>
        <v>0</v>
      </c>
    </row>
    <row r="111" spans="2:20" ht="18">
      <c r="B111" s="1006"/>
      <c r="C111" s="1007"/>
      <c r="D111" s="1008"/>
      <c r="E111" s="1009"/>
      <c r="F111" s="1009"/>
      <c r="G111" s="1010"/>
      <c r="H111" s="1008"/>
      <c r="I111" s="1011"/>
      <c r="J111" s="1011"/>
      <c r="K111" s="1011"/>
      <c r="L111" s="1012"/>
      <c r="M111" s="1008"/>
      <c r="N111" s="1013"/>
      <c r="O111" s="1008"/>
      <c r="P111" s="1011"/>
      <c r="Q111" s="1014"/>
      <c r="R111" s="1015"/>
      <c r="T111" s="1080">
        <f t="shared" si="1"/>
        <v>0</v>
      </c>
    </row>
    <row r="112" spans="2:20" ht="18">
      <c r="B112" s="1006"/>
      <c r="C112" s="1007"/>
      <c r="D112" s="1008"/>
      <c r="E112" s="1009"/>
      <c r="F112" s="1009"/>
      <c r="G112" s="1010"/>
      <c r="H112" s="1008"/>
      <c r="I112" s="1011"/>
      <c r="J112" s="1011"/>
      <c r="K112" s="1011"/>
      <c r="L112" s="1012"/>
      <c r="M112" s="1008"/>
      <c r="N112" s="1013"/>
      <c r="O112" s="1008"/>
      <c r="P112" s="1011"/>
      <c r="Q112" s="1014"/>
      <c r="R112" s="1015"/>
      <c r="T112" s="1080">
        <f t="shared" si="1"/>
        <v>0</v>
      </c>
    </row>
    <row r="113" spans="2:20" ht="18">
      <c r="B113" s="1006"/>
      <c r="C113" s="1007"/>
      <c r="D113" s="1008"/>
      <c r="E113" s="1009"/>
      <c r="F113" s="1009"/>
      <c r="G113" s="1010"/>
      <c r="H113" s="1008"/>
      <c r="I113" s="1011"/>
      <c r="J113" s="1011"/>
      <c r="K113" s="1011"/>
      <c r="L113" s="1012"/>
      <c r="M113" s="1008"/>
      <c r="N113" s="1013"/>
      <c r="O113" s="1008"/>
      <c r="P113" s="1011"/>
      <c r="Q113" s="1014"/>
      <c r="R113" s="1015"/>
      <c r="T113" s="1080">
        <f t="shared" si="1"/>
        <v>0</v>
      </c>
    </row>
    <row r="114" spans="2:20" ht="18">
      <c r="B114" s="1006"/>
      <c r="C114" s="1007"/>
      <c r="D114" s="1008"/>
      <c r="E114" s="1009"/>
      <c r="F114" s="1009"/>
      <c r="G114" s="1010"/>
      <c r="H114" s="1008"/>
      <c r="I114" s="1011"/>
      <c r="J114" s="1011"/>
      <c r="K114" s="1011"/>
      <c r="L114" s="1012"/>
      <c r="M114" s="1008"/>
      <c r="N114" s="1013"/>
      <c r="O114" s="1008"/>
      <c r="P114" s="1011"/>
      <c r="Q114" s="1014"/>
      <c r="R114" s="1015"/>
      <c r="T114" s="1080">
        <f t="shared" si="1"/>
        <v>0</v>
      </c>
    </row>
    <row r="115" spans="2:20" ht="18">
      <c r="B115" s="1006"/>
      <c r="C115" s="1007"/>
      <c r="D115" s="1008"/>
      <c r="E115" s="1009"/>
      <c r="F115" s="1009"/>
      <c r="G115" s="1010"/>
      <c r="H115" s="1008"/>
      <c r="I115" s="1011"/>
      <c r="J115" s="1011"/>
      <c r="K115" s="1011"/>
      <c r="L115" s="1012"/>
      <c r="M115" s="1008"/>
      <c r="N115" s="1013"/>
      <c r="O115" s="1008"/>
      <c r="P115" s="1011"/>
      <c r="Q115" s="1014"/>
      <c r="R115" s="1015"/>
      <c r="T115" s="1080">
        <f t="shared" si="1"/>
        <v>0</v>
      </c>
    </row>
    <row r="116" spans="2:20" ht="18">
      <c r="B116" s="1006"/>
      <c r="C116" s="1007"/>
      <c r="D116" s="1008"/>
      <c r="E116" s="1009"/>
      <c r="F116" s="1009"/>
      <c r="G116" s="1010"/>
      <c r="H116" s="1008"/>
      <c r="I116" s="1011"/>
      <c r="J116" s="1011"/>
      <c r="K116" s="1011"/>
      <c r="L116" s="1012"/>
      <c r="M116" s="1008"/>
      <c r="N116" s="1013"/>
      <c r="O116" s="1008"/>
      <c r="P116" s="1011"/>
      <c r="Q116" s="1014"/>
      <c r="R116" s="1015"/>
      <c r="T116" s="1080">
        <f t="shared" si="1"/>
        <v>0</v>
      </c>
    </row>
    <row r="117" spans="2:20" ht="18">
      <c r="B117" s="1006"/>
      <c r="C117" s="1007"/>
      <c r="D117" s="1008"/>
      <c r="E117" s="1009"/>
      <c r="F117" s="1009"/>
      <c r="G117" s="1010"/>
      <c r="H117" s="1008"/>
      <c r="I117" s="1011"/>
      <c r="J117" s="1011"/>
      <c r="K117" s="1011"/>
      <c r="L117" s="1012"/>
      <c r="M117" s="1008"/>
      <c r="N117" s="1013"/>
      <c r="O117" s="1008"/>
      <c r="P117" s="1011"/>
      <c r="Q117" s="1014"/>
      <c r="R117" s="1015"/>
      <c r="T117" s="1080">
        <f t="shared" si="1"/>
        <v>0</v>
      </c>
    </row>
    <row r="118" spans="2:20" ht="18">
      <c r="B118" s="1006"/>
      <c r="C118" s="1007"/>
      <c r="D118" s="1008"/>
      <c r="E118" s="1009"/>
      <c r="F118" s="1009"/>
      <c r="G118" s="1010"/>
      <c r="H118" s="1008"/>
      <c r="I118" s="1011"/>
      <c r="J118" s="1011"/>
      <c r="K118" s="1011"/>
      <c r="L118" s="1012"/>
      <c r="M118" s="1008"/>
      <c r="N118" s="1013"/>
      <c r="O118" s="1008"/>
      <c r="P118" s="1011"/>
      <c r="Q118" s="1014"/>
      <c r="R118" s="1015"/>
      <c r="T118" s="1080">
        <f t="shared" si="1"/>
        <v>0</v>
      </c>
    </row>
    <row r="119" spans="2:20" ht="18">
      <c r="B119" s="1006"/>
      <c r="C119" s="1007"/>
      <c r="D119" s="1008"/>
      <c r="E119" s="1009"/>
      <c r="F119" s="1009"/>
      <c r="G119" s="1010"/>
      <c r="H119" s="1008"/>
      <c r="I119" s="1011"/>
      <c r="J119" s="1011"/>
      <c r="K119" s="1011"/>
      <c r="L119" s="1012"/>
      <c r="M119" s="1008"/>
      <c r="N119" s="1013"/>
      <c r="O119" s="1008"/>
      <c r="P119" s="1011"/>
      <c r="Q119" s="1014"/>
      <c r="R119" s="1015"/>
      <c r="T119" s="1080">
        <f t="shared" si="1"/>
        <v>0</v>
      </c>
    </row>
    <row r="120" spans="2:20" ht="18">
      <c r="B120" s="1006"/>
      <c r="C120" s="1007"/>
      <c r="D120" s="1008"/>
      <c r="E120" s="1009"/>
      <c r="F120" s="1009"/>
      <c r="G120" s="1010"/>
      <c r="H120" s="1008"/>
      <c r="I120" s="1011"/>
      <c r="J120" s="1011"/>
      <c r="K120" s="1011"/>
      <c r="L120" s="1012"/>
      <c r="M120" s="1008"/>
      <c r="N120" s="1013"/>
      <c r="O120" s="1008"/>
      <c r="P120" s="1011"/>
      <c r="Q120" s="1014"/>
      <c r="R120" s="1015"/>
      <c r="T120" s="1080">
        <f t="shared" si="1"/>
        <v>0</v>
      </c>
    </row>
    <row r="121" spans="2:20" ht="18">
      <c r="B121" s="1006"/>
      <c r="C121" s="1007"/>
      <c r="D121" s="1008"/>
      <c r="E121" s="1009"/>
      <c r="F121" s="1009"/>
      <c r="G121" s="1010"/>
      <c r="H121" s="1008"/>
      <c r="I121" s="1011"/>
      <c r="J121" s="1011"/>
      <c r="K121" s="1011"/>
      <c r="L121" s="1012"/>
      <c r="M121" s="1008"/>
      <c r="N121" s="1013"/>
      <c r="O121" s="1008"/>
      <c r="P121" s="1011"/>
      <c r="Q121" s="1014"/>
      <c r="R121" s="1015"/>
      <c r="T121" s="1080">
        <f t="shared" si="1"/>
        <v>0</v>
      </c>
    </row>
    <row r="122" spans="2:20" ht="18">
      <c r="B122" s="1006"/>
      <c r="C122" s="1007"/>
      <c r="D122" s="1008"/>
      <c r="E122" s="1009"/>
      <c r="F122" s="1009"/>
      <c r="G122" s="1010"/>
      <c r="H122" s="1008"/>
      <c r="I122" s="1011"/>
      <c r="J122" s="1011"/>
      <c r="K122" s="1011"/>
      <c r="L122" s="1012"/>
      <c r="M122" s="1008"/>
      <c r="N122" s="1013"/>
      <c r="O122" s="1008"/>
      <c r="P122" s="1011"/>
      <c r="Q122" s="1014"/>
      <c r="R122" s="1015"/>
      <c r="T122" s="1080">
        <f t="shared" si="1"/>
        <v>0</v>
      </c>
    </row>
    <row r="123" spans="2:20" ht="18">
      <c r="B123" s="1006"/>
      <c r="C123" s="1007"/>
      <c r="D123" s="1008"/>
      <c r="E123" s="1009"/>
      <c r="F123" s="1009"/>
      <c r="G123" s="1010"/>
      <c r="H123" s="1008"/>
      <c r="I123" s="1011"/>
      <c r="J123" s="1011"/>
      <c r="K123" s="1011"/>
      <c r="L123" s="1012"/>
      <c r="M123" s="1008"/>
      <c r="N123" s="1013"/>
      <c r="O123" s="1008"/>
      <c r="P123" s="1011"/>
      <c r="Q123" s="1014"/>
      <c r="R123" s="1015"/>
      <c r="T123" s="1080">
        <f t="shared" si="1"/>
        <v>0</v>
      </c>
    </row>
    <row r="124" spans="2:20" ht="18">
      <c r="B124" s="1006"/>
      <c r="C124" s="1007"/>
      <c r="D124" s="1008"/>
      <c r="E124" s="1009"/>
      <c r="F124" s="1009"/>
      <c r="G124" s="1010"/>
      <c r="H124" s="1008"/>
      <c r="I124" s="1011"/>
      <c r="J124" s="1011"/>
      <c r="K124" s="1011"/>
      <c r="L124" s="1012"/>
      <c r="M124" s="1008"/>
      <c r="N124" s="1013"/>
      <c r="O124" s="1008"/>
      <c r="P124" s="1011"/>
      <c r="Q124" s="1014"/>
      <c r="R124" s="1015"/>
      <c r="T124" s="1080">
        <f t="shared" si="1"/>
        <v>0</v>
      </c>
    </row>
    <row r="125" spans="2:20" ht="18">
      <c r="B125" s="1006"/>
      <c r="C125" s="1007"/>
      <c r="D125" s="1008"/>
      <c r="E125" s="1009"/>
      <c r="F125" s="1009"/>
      <c r="G125" s="1010"/>
      <c r="H125" s="1008"/>
      <c r="I125" s="1011"/>
      <c r="J125" s="1011"/>
      <c r="K125" s="1011"/>
      <c r="L125" s="1012"/>
      <c r="M125" s="1008"/>
      <c r="N125" s="1013"/>
      <c r="O125" s="1008"/>
      <c r="P125" s="1011"/>
      <c r="Q125" s="1014"/>
      <c r="R125" s="1015"/>
      <c r="T125" s="1080">
        <f t="shared" si="1"/>
        <v>0</v>
      </c>
    </row>
    <row r="126" spans="2:20" ht="18">
      <c r="B126" s="1006"/>
      <c r="C126" s="1007"/>
      <c r="D126" s="1008"/>
      <c r="E126" s="1009"/>
      <c r="F126" s="1009"/>
      <c r="G126" s="1010"/>
      <c r="H126" s="1008"/>
      <c r="I126" s="1011"/>
      <c r="J126" s="1011"/>
      <c r="K126" s="1011"/>
      <c r="L126" s="1012"/>
      <c r="M126" s="1008"/>
      <c r="N126" s="1013"/>
      <c r="O126" s="1008"/>
      <c r="P126" s="1011"/>
      <c r="Q126" s="1014"/>
      <c r="R126" s="1015"/>
      <c r="T126" s="1080">
        <f t="shared" si="1"/>
        <v>0</v>
      </c>
    </row>
    <row r="127" spans="2:20" ht="18">
      <c r="B127" s="1006"/>
      <c r="C127" s="1007"/>
      <c r="D127" s="1008"/>
      <c r="E127" s="1009"/>
      <c r="F127" s="1009"/>
      <c r="G127" s="1010"/>
      <c r="H127" s="1008"/>
      <c r="I127" s="1011"/>
      <c r="J127" s="1011"/>
      <c r="K127" s="1011"/>
      <c r="L127" s="1012"/>
      <c r="M127" s="1008"/>
      <c r="N127" s="1013"/>
      <c r="O127" s="1008"/>
      <c r="P127" s="1011"/>
      <c r="Q127" s="1014"/>
      <c r="R127" s="1015"/>
      <c r="T127" s="1080">
        <f t="shared" si="1"/>
        <v>0</v>
      </c>
    </row>
    <row r="128" spans="2:20" ht="18">
      <c r="B128" s="1006"/>
      <c r="C128" s="1007"/>
      <c r="D128" s="1008"/>
      <c r="E128" s="1009"/>
      <c r="F128" s="1009"/>
      <c r="G128" s="1010"/>
      <c r="H128" s="1008"/>
      <c r="I128" s="1011"/>
      <c r="J128" s="1011"/>
      <c r="K128" s="1011"/>
      <c r="L128" s="1012"/>
      <c r="M128" s="1008"/>
      <c r="N128" s="1013"/>
      <c r="O128" s="1008"/>
      <c r="P128" s="1011"/>
      <c r="Q128" s="1014"/>
      <c r="R128" s="1015"/>
      <c r="T128" s="1080">
        <f t="shared" si="1"/>
        <v>0</v>
      </c>
    </row>
    <row r="129" spans="2:20" ht="18">
      <c r="B129" s="1006"/>
      <c r="C129" s="1007"/>
      <c r="D129" s="1008"/>
      <c r="E129" s="1009"/>
      <c r="F129" s="1009"/>
      <c r="G129" s="1010"/>
      <c r="H129" s="1008"/>
      <c r="I129" s="1011"/>
      <c r="J129" s="1011"/>
      <c r="K129" s="1011"/>
      <c r="L129" s="1012"/>
      <c r="M129" s="1008"/>
      <c r="N129" s="1013"/>
      <c r="O129" s="1008"/>
      <c r="P129" s="1011"/>
      <c r="Q129" s="1014"/>
      <c r="R129" s="1015"/>
      <c r="T129" s="1080">
        <f t="shared" si="1"/>
        <v>0</v>
      </c>
    </row>
    <row r="130" spans="2:20" ht="18">
      <c r="B130" s="1006"/>
      <c r="C130" s="1007"/>
      <c r="D130" s="1008"/>
      <c r="E130" s="1009"/>
      <c r="F130" s="1009"/>
      <c r="G130" s="1010"/>
      <c r="H130" s="1008"/>
      <c r="I130" s="1011"/>
      <c r="J130" s="1011"/>
      <c r="K130" s="1011"/>
      <c r="L130" s="1012"/>
      <c r="M130" s="1008"/>
      <c r="N130" s="1013"/>
      <c r="O130" s="1008"/>
      <c r="P130" s="1011"/>
      <c r="Q130" s="1014"/>
      <c r="R130" s="1015"/>
      <c r="T130" s="1080">
        <f t="shared" si="1"/>
        <v>0</v>
      </c>
    </row>
    <row r="131" spans="2:20" ht="18">
      <c r="B131" s="1006"/>
      <c r="C131" s="1007"/>
      <c r="D131" s="1008"/>
      <c r="E131" s="1009"/>
      <c r="F131" s="1009"/>
      <c r="G131" s="1010"/>
      <c r="H131" s="1008"/>
      <c r="I131" s="1011"/>
      <c r="J131" s="1011"/>
      <c r="K131" s="1011"/>
      <c r="L131" s="1012"/>
      <c r="M131" s="1008"/>
      <c r="N131" s="1013"/>
      <c r="O131" s="1008"/>
      <c r="P131" s="1011"/>
      <c r="Q131" s="1014"/>
      <c r="R131" s="1015"/>
      <c r="T131" s="1080">
        <f t="shared" si="1"/>
        <v>0</v>
      </c>
    </row>
    <row r="132" spans="2:20" ht="18">
      <c r="B132" s="1006"/>
      <c r="C132" s="1007"/>
      <c r="D132" s="1008"/>
      <c r="E132" s="1009"/>
      <c r="F132" s="1009"/>
      <c r="G132" s="1010"/>
      <c r="H132" s="1008"/>
      <c r="I132" s="1011"/>
      <c r="J132" s="1011"/>
      <c r="K132" s="1011"/>
      <c r="L132" s="1012"/>
      <c r="M132" s="1008"/>
      <c r="N132" s="1013"/>
      <c r="O132" s="1008"/>
      <c r="P132" s="1011"/>
      <c r="Q132" s="1014"/>
      <c r="R132" s="1015"/>
      <c r="T132" s="1080">
        <f t="shared" si="1"/>
        <v>0</v>
      </c>
    </row>
    <row r="133" spans="2:20" ht="18">
      <c r="B133" s="1006"/>
      <c r="C133" s="1007"/>
      <c r="D133" s="1008"/>
      <c r="E133" s="1009"/>
      <c r="F133" s="1009"/>
      <c r="G133" s="1010"/>
      <c r="H133" s="1008"/>
      <c r="I133" s="1011"/>
      <c r="J133" s="1011"/>
      <c r="K133" s="1011"/>
      <c r="L133" s="1012"/>
      <c r="M133" s="1008"/>
      <c r="N133" s="1013"/>
      <c r="O133" s="1008"/>
      <c r="P133" s="1011"/>
      <c r="Q133" s="1014"/>
      <c r="R133" s="1015"/>
      <c r="T133" s="1080">
        <f t="shared" si="1"/>
        <v>0</v>
      </c>
    </row>
    <row r="134" spans="2:20" ht="18">
      <c r="B134" s="1006"/>
      <c r="C134" s="1007"/>
      <c r="D134" s="1008"/>
      <c r="E134" s="1009"/>
      <c r="F134" s="1009"/>
      <c r="G134" s="1010"/>
      <c r="H134" s="1008"/>
      <c r="I134" s="1011"/>
      <c r="J134" s="1011"/>
      <c r="K134" s="1011"/>
      <c r="L134" s="1012"/>
      <c r="M134" s="1008"/>
      <c r="N134" s="1013"/>
      <c r="O134" s="1008"/>
      <c r="P134" s="1011"/>
      <c r="Q134" s="1014"/>
      <c r="R134" s="1015"/>
      <c r="T134" s="1080">
        <f t="shared" si="1"/>
        <v>0</v>
      </c>
    </row>
    <row r="135" spans="2:20" ht="18">
      <c r="B135" s="1006"/>
      <c r="C135" s="1007"/>
      <c r="D135" s="1008"/>
      <c r="E135" s="1009"/>
      <c r="F135" s="1009"/>
      <c r="G135" s="1010"/>
      <c r="H135" s="1008"/>
      <c r="I135" s="1011"/>
      <c r="J135" s="1011"/>
      <c r="K135" s="1011"/>
      <c r="L135" s="1012"/>
      <c r="M135" s="1008"/>
      <c r="N135" s="1013"/>
      <c r="O135" s="1008"/>
      <c r="P135" s="1011"/>
      <c r="Q135" s="1014"/>
      <c r="R135" s="1015"/>
      <c r="T135" s="1080">
        <f t="shared" si="1"/>
        <v>0</v>
      </c>
    </row>
    <row r="136" spans="2:20" ht="18">
      <c r="B136" s="1006"/>
      <c r="C136" s="1007"/>
      <c r="D136" s="1008"/>
      <c r="E136" s="1009"/>
      <c r="F136" s="1009"/>
      <c r="G136" s="1010"/>
      <c r="H136" s="1008"/>
      <c r="I136" s="1011"/>
      <c r="J136" s="1011"/>
      <c r="K136" s="1011"/>
      <c r="L136" s="1012"/>
      <c r="M136" s="1008"/>
      <c r="N136" s="1013"/>
      <c r="O136" s="1008"/>
      <c r="P136" s="1011"/>
      <c r="Q136" s="1014"/>
      <c r="R136" s="1015"/>
      <c r="T136" s="1080">
        <f t="shared" si="1"/>
        <v>0</v>
      </c>
    </row>
    <row r="137" spans="2:20" ht="18">
      <c r="B137" s="1006"/>
      <c r="C137" s="1007"/>
      <c r="D137" s="1008"/>
      <c r="E137" s="1009"/>
      <c r="F137" s="1009"/>
      <c r="G137" s="1010"/>
      <c r="H137" s="1008"/>
      <c r="I137" s="1011"/>
      <c r="J137" s="1011"/>
      <c r="K137" s="1011"/>
      <c r="L137" s="1012"/>
      <c r="M137" s="1008"/>
      <c r="N137" s="1013"/>
      <c r="O137" s="1008"/>
      <c r="P137" s="1011"/>
      <c r="Q137" s="1014"/>
      <c r="R137" s="1015"/>
      <c r="T137" s="1080">
        <f t="shared" si="1"/>
        <v>0</v>
      </c>
    </row>
    <row r="138" spans="2:20" ht="18">
      <c r="B138" s="1006"/>
      <c r="C138" s="1007"/>
      <c r="D138" s="1008"/>
      <c r="E138" s="1009"/>
      <c r="F138" s="1009"/>
      <c r="G138" s="1010"/>
      <c r="H138" s="1008"/>
      <c r="I138" s="1011"/>
      <c r="J138" s="1011"/>
      <c r="K138" s="1011"/>
      <c r="L138" s="1012"/>
      <c r="M138" s="1008"/>
      <c r="N138" s="1013"/>
      <c r="O138" s="1008"/>
      <c r="P138" s="1011"/>
      <c r="Q138" s="1014"/>
      <c r="R138" s="1015"/>
      <c r="T138" s="1080">
        <f t="shared" si="1"/>
        <v>0</v>
      </c>
    </row>
    <row r="139" spans="2:20" ht="18">
      <c r="B139" s="1006"/>
      <c r="C139" s="1007"/>
      <c r="D139" s="1008"/>
      <c r="E139" s="1009"/>
      <c r="F139" s="1009"/>
      <c r="G139" s="1010"/>
      <c r="H139" s="1008"/>
      <c r="I139" s="1011"/>
      <c r="J139" s="1011"/>
      <c r="K139" s="1011"/>
      <c r="L139" s="1012"/>
      <c r="M139" s="1008"/>
      <c r="N139" s="1013"/>
      <c r="O139" s="1008"/>
      <c r="P139" s="1011"/>
      <c r="Q139" s="1014"/>
      <c r="R139" s="1015"/>
      <c r="T139" s="1080">
        <f t="shared" ref="T139:T202" si="2">SUMIF($B$10:$B$360,B139,$K$10:$K$360)</f>
        <v>0</v>
      </c>
    </row>
    <row r="140" spans="2:20" ht="18">
      <c r="B140" s="1006"/>
      <c r="C140" s="1007"/>
      <c r="D140" s="1008"/>
      <c r="E140" s="1009"/>
      <c r="F140" s="1009"/>
      <c r="G140" s="1010"/>
      <c r="H140" s="1008"/>
      <c r="I140" s="1011"/>
      <c r="J140" s="1011"/>
      <c r="K140" s="1011"/>
      <c r="L140" s="1012"/>
      <c r="M140" s="1008"/>
      <c r="N140" s="1013"/>
      <c r="O140" s="1008"/>
      <c r="P140" s="1011"/>
      <c r="Q140" s="1014"/>
      <c r="R140" s="1015"/>
      <c r="T140" s="1080">
        <f t="shared" si="2"/>
        <v>0</v>
      </c>
    </row>
    <row r="141" spans="2:20" ht="18">
      <c r="B141" s="1006"/>
      <c r="C141" s="1007"/>
      <c r="D141" s="1008"/>
      <c r="E141" s="1009"/>
      <c r="F141" s="1009"/>
      <c r="G141" s="1010"/>
      <c r="H141" s="1008"/>
      <c r="I141" s="1011"/>
      <c r="J141" s="1011"/>
      <c r="K141" s="1011"/>
      <c r="L141" s="1012"/>
      <c r="M141" s="1008"/>
      <c r="N141" s="1013"/>
      <c r="O141" s="1008"/>
      <c r="P141" s="1011"/>
      <c r="Q141" s="1014"/>
      <c r="R141" s="1015"/>
      <c r="T141" s="1080">
        <f t="shared" si="2"/>
        <v>0</v>
      </c>
    </row>
    <row r="142" spans="2:20" ht="18">
      <c r="B142" s="1006"/>
      <c r="C142" s="1007"/>
      <c r="D142" s="1008"/>
      <c r="E142" s="1009"/>
      <c r="F142" s="1009"/>
      <c r="G142" s="1010"/>
      <c r="H142" s="1008"/>
      <c r="I142" s="1011"/>
      <c r="J142" s="1011"/>
      <c r="K142" s="1011"/>
      <c r="L142" s="1012"/>
      <c r="M142" s="1008"/>
      <c r="N142" s="1013"/>
      <c r="O142" s="1008"/>
      <c r="P142" s="1011"/>
      <c r="Q142" s="1014"/>
      <c r="R142" s="1015"/>
      <c r="T142" s="1080">
        <f t="shared" si="2"/>
        <v>0</v>
      </c>
    </row>
    <row r="143" spans="2:20" ht="18">
      <c r="B143" s="1006"/>
      <c r="C143" s="1007"/>
      <c r="D143" s="1008"/>
      <c r="E143" s="1009"/>
      <c r="F143" s="1009"/>
      <c r="G143" s="1010"/>
      <c r="H143" s="1008"/>
      <c r="I143" s="1011"/>
      <c r="J143" s="1011"/>
      <c r="K143" s="1011"/>
      <c r="L143" s="1012"/>
      <c r="M143" s="1008"/>
      <c r="N143" s="1013"/>
      <c r="O143" s="1008"/>
      <c r="P143" s="1011"/>
      <c r="Q143" s="1014"/>
      <c r="R143" s="1015"/>
      <c r="T143" s="1080">
        <f t="shared" si="2"/>
        <v>0</v>
      </c>
    </row>
    <row r="144" spans="2:20" ht="18">
      <c r="B144" s="1006"/>
      <c r="C144" s="1007"/>
      <c r="D144" s="1008"/>
      <c r="E144" s="1009"/>
      <c r="F144" s="1009"/>
      <c r="G144" s="1010"/>
      <c r="H144" s="1008"/>
      <c r="I144" s="1011"/>
      <c r="J144" s="1011"/>
      <c r="K144" s="1011"/>
      <c r="L144" s="1012"/>
      <c r="M144" s="1008"/>
      <c r="N144" s="1013"/>
      <c r="O144" s="1008"/>
      <c r="P144" s="1011"/>
      <c r="Q144" s="1014"/>
      <c r="R144" s="1015"/>
      <c r="T144" s="1080">
        <f t="shared" si="2"/>
        <v>0</v>
      </c>
    </row>
    <row r="145" spans="2:20" ht="18">
      <c r="B145" s="1006"/>
      <c r="C145" s="1007"/>
      <c r="D145" s="1008"/>
      <c r="E145" s="1009"/>
      <c r="F145" s="1009"/>
      <c r="G145" s="1010"/>
      <c r="H145" s="1008"/>
      <c r="I145" s="1011"/>
      <c r="J145" s="1011"/>
      <c r="K145" s="1011"/>
      <c r="L145" s="1012"/>
      <c r="M145" s="1008"/>
      <c r="N145" s="1013"/>
      <c r="O145" s="1008"/>
      <c r="P145" s="1011"/>
      <c r="Q145" s="1014"/>
      <c r="R145" s="1015"/>
      <c r="T145" s="1080">
        <f t="shared" si="2"/>
        <v>0</v>
      </c>
    </row>
    <row r="146" spans="2:20" ht="18">
      <c r="B146" s="1006"/>
      <c r="C146" s="1007"/>
      <c r="D146" s="1008"/>
      <c r="E146" s="1009"/>
      <c r="F146" s="1009"/>
      <c r="G146" s="1010"/>
      <c r="H146" s="1008"/>
      <c r="I146" s="1011"/>
      <c r="J146" s="1011"/>
      <c r="K146" s="1011"/>
      <c r="L146" s="1012"/>
      <c r="M146" s="1008"/>
      <c r="N146" s="1013"/>
      <c r="O146" s="1008"/>
      <c r="P146" s="1011"/>
      <c r="Q146" s="1014"/>
      <c r="R146" s="1015"/>
      <c r="T146" s="1080">
        <f t="shared" si="2"/>
        <v>0</v>
      </c>
    </row>
    <row r="147" spans="2:20" ht="18">
      <c r="B147" s="1006"/>
      <c r="C147" s="1007"/>
      <c r="D147" s="1008"/>
      <c r="E147" s="1009"/>
      <c r="F147" s="1009"/>
      <c r="G147" s="1010"/>
      <c r="H147" s="1008"/>
      <c r="I147" s="1011"/>
      <c r="J147" s="1011"/>
      <c r="K147" s="1011"/>
      <c r="L147" s="1012"/>
      <c r="M147" s="1008"/>
      <c r="N147" s="1013"/>
      <c r="O147" s="1008"/>
      <c r="P147" s="1011"/>
      <c r="Q147" s="1014"/>
      <c r="R147" s="1015"/>
      <c r="T147" s="1080">
        <f t="shared" si="2"/>
        <v>0</v>
      </c>
    </row>
    <row r="148" spans="2:20" ht="18">
      <c r="B148" s="1006"/>
      <c r="C148" s="1007"/>
      <c r="D148" s="1008"/>
      <c r="E148" s="1009"/>
      <c r="F148" s="1009"/>
      <c r="G148" s="1010"/>
      <c r="H148" s="1008"/>
      <c r="I148" s="1011"/>
      <c r="J148" s="1011"/>
      <c r="K148" s="1011"/>
      <c r="L148" s="1012"/>
      <c r="M148" s="1008"/>
      <c r="N148" s="1013"/>
      <c r="O148" s="1008"/>
      <c r="P148" s="1011"/>
      <c r="Q148" s="1014"/>
      <c r="R148" s="1015"/>
      <c r="T148" s="1080">
        <f t="shared" si="2"/>
        <v>0</v>
      </c>
    </row>
    <row r="149" spans="2:20" ht="18">
      <c r="B149" s="1006"/>
      <c r="C149" s="1007"/>
      <c r="D149" s="1008"/>
      <c r="E149" s="1009"/>
      <c r="F149" s="1009"/>
      <c r="G149" s="1010"/>
      <c r="H149" s="1008"/>
      <c r="I149" s="1011"/>
      <c r="J149" s="1011"/>
      <c r="K149" s="1011"/>
      <c r="L149" s="1012"/>
      <c r="M149" s="1008"/>
      <c r="N149" s="1013"/>
      <c r="O149" s="1008"/>
      <c r="P149" s="1011"/>
      <c r="Q149" s="1014"/>
      <c r="R149" s="1015"/>
      <c r="T149" s="1080">
        <f t="shared" si="2"/>
        <v>0</v>
      </c>
    </row>
    <row r="150" spans="2:20" ht="18">
      <c r="B150" s="1006"/>
      <c r="C150" s="1007"/>
      <c r="D150" s="1008"/>
      <c r="E150" s="1009"/>
      <c r="F150" s="1009"/>
      <c r="G150" s="1010"/>
      <c r="H150" s="1008"/>
      <c r="I150" s="1011"/>
      <c r="J150" s="1011"/>
      <c r="K150" s="1011"/>
      <c r="L150" s="1012"/>
      <c r="M150" s="1008"/>
      <c r="N150" s="1013"/>
      <c r="O150" s="1008"/>
      <c r="P150" s="1011"/>
      <c r="Q150" s="1014"/>
      <c r="R150" s="1015"/>
      <c r="T150" s="1080">
        <f t="shared" si="2"/>
        <v>0</v>
      </c>
    </row>
    <row r="151" spans="2:20" ht="18">
      <c r="B151" s="1006"/>
      <c r="C151" s="1007"/>
      <c r="D151" s="1008"/>
      <c r="E151" s="1009"/>
      <c r="F151" s="1009"/>
      <c r="G151" s="1010"/>
      <c r="H151" s="1008"/>
      <c r="I151" s="1011"/>
      <c r="J151" s="1011"/>
      <c r="K151" s="1011"/>
      <c r="L151" s="1012"/>
      <c r="M151" s="1008"/>
      <c r="N151" s="1013"/>
      <c r="O151" s="1008"/>
      <c r="P151" s="1011"/>
      <c r="Q151" s="1014"/>
      <c r="R151" s="1015"/>
      <c r="T151" s="1080">
        <f t="shared" si="2"/>
        <v>0</v>
      </c>
    </row>
    <row r="152" spans="2:20" ht="18">
      <c r="B152" s="1006"/>
      <c r="C152" s="1007"/>
      <c r="D152" s="1008"/>
      <c r="E152" s="1009"/>
      <c r="F152" s="1009"/>
      <c r="G152" s="1010"/>
      <c r="H152" s="1008"/>
      <c r="I152" s="1011"/>
      <c r="J152" s="1011"/>
      <c r="K152" s="1011"/>
      <c r="L152" s="1012"/>
      <c r="M152" s="1008"/>
      <c r="N152" s="1013"/>
      <c r="O152" s="1008"/>
      <c r="P152" s="1011"/>
      <c r="Q152" s="1014"/>
      <c r="R152" s="1015"/>
      <c r="T152" s="1080">
        <f t="shared" si="2"/>
        <v>0</v>
      </c>
    </row>
    <row r="153" spans="2:20" ht="18">
      <c r="B153" s="1006"/>
      <c r="C153" s="1007"/>
      <c r="D153" s="1008"/>
      <c r="E153" s="1009"/>
      <c r="F153" s="1009"/>
      <c r="G153" s="1010"/>
      <c r="H153" s="1008"/>
      <c r="I153" s="1011"/>
      <c r="J153" s="1011"/>
      <c r="K153" s="1011"/>
      <c r="L153" s="1012"/>
      <c r="M153" s="1008"/>
      <c r="N153" s="1013"/>
      <c r="O153" s="1008"/>
      <c r="P153" s="1011"/>
      <c r="Q153" s="1014"/>
      <c r="R153" s="1015"/>
      <c r="T153" s="1080">
        <f t="shared" si="2"/>
        <v>0</v>
      </c>
    </row>
    <row r="154" spans="2:20" ht="18">
      <c r="B154" s="1006"/>
      <c r="C154" s="1007"/>
      <c r="D154" s="1008"/>
      <c r="E154" s="1009"/>
      <c r="F154" s="1009"/>
      <c r="G154" s="1010"/>
      <c r="H154" s="1008"/>
      <c r="I154" s="1011"/>
      <c r="J154" s="1011"/>
      <c r="K154" s="1011"/>
      <c r="L154" s="1012"/>
      <c r="M154" s="1008"/>
      <c r="N154" s="1013"/>
      <c r="O154" s="1008"/>
      <c r="P154" s="1011"/>
      <c r="Q154" s="1014"/>
      <c r="R154" s="1015"/>
      <c r="T154" s="1080">
        <f t="shared" si="2"/>
        <v>0</v>
      </c>
    </row>
    <row r="155" spans="2:20" ht="18">
      <c r="B155" s="1006"/>
      <c r="C155" s="1007"/>
      <c r="D155" s="1008"/>
      <c r="E155" s="1009"/>
      <c r="F155" s="1009"/>
      <c r="G155" s="1010"/>
      <c r="H155" s="1008"/>
      <c r="I155" s="1011"/>
      <c r="J155" s="1011"/>
      <c r="K155" s="1011"/>
      <c r="L155" s="1012"/>
      <c r="M155" s="1008"/>
      <c r="N155" s="1013"/>
      <c r="O155" s="1008"/>
      <c r="P155" s="1011"/>
      <c r="Q155" s="1014"/>
      <c r="R155" s="1015"/>
      <c r="T155" s="1080">
        <f t="shared" si="2"/>
        <v>0</v>
      </c>
    </row>
    <row r="156" spans="2:20" ht="18">
      <c r="B156" s="1006"/>
      <c r="C156" s="1007"/>
      <c r="D156" s="1008"/>
      <c r="E156" s="1009"/>
      <c r="F156" s="1009"/>
      <c r="G156" s="1010"/>
      <c r="H156" s="1008"/>
      <c r="I156" s="1011"/>
      <c r="J156" s="1011"/>
      <c r="K156" s="1011"/>
      <c r="L156" s="1012"/>
      <c r="M156" s="1008"/>
      <c r="N156" s="1013"/>
      <c r="O156" s="1008"/>
      <c r="P156" s="1011"/>
      <c r="Q156" s="1014"/>
      <c r="R156" s="1015"/>
      <c r="T156" s="1080">
        <f t="shared" si="2"/>
        <v>0</v>
      </c>
    </row>
    <row r="157" spans="2:20" ht="18">
      <c r="B157" s="1006"/>
      <c r="C157" s="1007"/>
      <c r="D157" s="1008"/>
      <c r="E157" s="1009"/>
      <c r="F157" s="1009"/>
      <c r="G157" s="1010"/>
      <c r="H157" s="1008"/>
      <c r="I157" s="1011"/>
      <c r="J157" s="1011"/>
      <c r="K157" s="1011"/>
      <c r="L157" s="1012"/>
      <c r="M157" s="1008"/>
      <c r="N157" s="1013"/>
      <c r="O157" s="1008"/>
      <c r="P157" s="1011"/>
      <c r="Q157" s="1014"/>
      <c r="R157" s="1015"/>
      <c r="T157" s="1080">
        <f t="shared" si="2"/>
        <v>0</v>
      </c>
    </row>
    <row r="158" spans="2:20" ht="18">
      <c r="B158" s="1006"/>
      <c r="C158" s="1007"/>
      <c r="D158" s="1008"/>
      <c r="E158" s="1009"/>
      <c r="F158" s="1009"/>
      <c r="G158" s="1010"/>
      <c r="H158" s="1008"/>
      <c r="I158" s="1011"/>
      <c r="J158" s="1011"/>
      <c r="K158" s="1011"/>
      <c r="L158" s="1012"/>
      <c r="M158" s="1008"/>
      <c r="N158" s="1013"/>
      <c r="O158" s="1008"/>
      <c r="P158" s="1011"/>
      <c r="Q158" s="1014"/>
      <c r="R158" s="1015"/>
      <c r="T158" s="1080">
        <f t="shared" si="2"/>
        <v>0</v>
      </c>
    </row>
    <row r="159" spans="2:20" ht="18">
      <c r="B159" s="1006"/>
      <c r="C159" s="1007"/>
      <c r="D159" s="1008"/>
      <c r="E159" s="1009"/>
      <c r="F159" s="1009"/>
      <c r="G159" s="1010"/>
      <c r="H159" s="1008"/>
      <c r="I159" s="1011"/>
      <c r="J159" s="1011"/>
      <c r="K159" s="1011"/>
      <c r="L159" s="1012"/>
      <c r="M159" s="1008"/>
      <c r="N159" s="1013"/>
      <c r="O159" s="1008"/>
      <c r="P159" s="1011"/>
      <c r="Q159" s="1014"/>
      <c r="R159" s="1015"/>
      <c r="T159" s="1080">
        <f t="shared" si="2"/>
        <v>0</v>
      </c>
    </row>
    <row r="160" spans="2:20" ht="18">
      <c r="B160" s="1006"/>
      <c r="C160" s="1007"/>
      <c r="D160" s="1008"/>
      <c r="E160" s="1009"/>
      <c r="F160" s="1009"/>
      <c r="G160" s="1010"/>
      <c r="H160" s="1008"/>
      <c r="I160" s="1011"/>
      <c r="J160" s="1011"/>
      <c r="K160" s="1011"/>
      <c r="L160" s="1012"/>
      <c r="M160" s="1008"/>
      <c r="N160" s="1013"/>
      <c r="O160" s="1008"/>
      <c r="P160" s="1011"/>
      <c r="Q160" s="1014"/>
      <c r="R160" s="1015"/>
      <c r="T160" s="1080">
        <f t="shared" si="2"/>
        <v>0</v>
      </c>
    </row>
    <row r="161" spans="2:20" ht="18">
      <c r="B161" s="1006"/>
      <c r="C161" s="1007"/>
      <c r="D161" s="1008"/>
      <c r="E161" s="1009"/>
      <c r="F161" s="1009"/>
      <c r="G161" s="1010"/>
      <c r="H161" s="1008"/>
      <c r="I161" s="1011"/>
      <c r="J161" s="1011"/>
      <c r="K161" s="1011"/>
      <c r="L161" s="1012"/>
      <c r="M161" s="1008"/>
      <c r="N161" s="1013"/>
      <c r="O161" s="1008"/>
      <c r="P161" s="1011"/>
      <c r="Q161" s="1014"/>
      <c r="R161" s="1015"/>
      <c r="T161" s="1080">
        <f t="shared" si="2"/>
        <v>0</v>
      </c>
    </row>
    <row r="162" spans="2:20" ht="18">
      <c r="B162" s="1006"/>
      <c r="C162" s="1007"/>
      <c r="D162" s="1008"/>
      <c r="E162" s="1009"/>
      <c r="F162" s="1009"/>
      <c r="G162" s="1010"/>
      <c r="H162" s="1008"/>
      <c r="I162" s="1011"/>
      <c r="J162" s="1011"/>
      <c r="K162" s="1011"/>
      <c r="L162" s="1012"/>
      <c r="M162" s="1008"/>
      <c r="N162" s="1013"/>
      <c r="O162" s="1008"/>
      <c r="P162" s="1011"/>
      <c r="Q162" s="1014"/>
      <c r="R162" s="1015"/>
      <c r="T162" s="1080">
        <f t="shared" si="2"/>
        <v>0</v>
      </c>
    </row>
    <row r="163" spans="2:20" ht="18">
      <c r="B163" s="1006"/>
      <c r="C163" s="1007"/>
      <c r="D163" s="1008"/>
      <c r="E163" s="1009"/>
      <c r="F163" s="1009"/>
      <c r="G163" s="1010"/>
      <c r="H163" s="1008"/>
      <c r="I163" s="1011"/>
      <c r="J163" s="1011"/>
      <c r="K163" s="1011"/>
      <c r="L163" s="1012"/>
      <c r="M163" s="1008"/>
      <c r="N163" s="1013"/>
      <c r="O163" s="1008"/>
      <c r="P163" s="1011"/>
      <c r="Q163" s="1014"/>
      <c r="R163" s="1015"/>
      <c r="T163" s="1080">
        <f t="shared" si="2"/>
        <v>0</v>
      </c>
    </row>
    <row r="164" spans="2:20" ht="18">
      <c r="B164" s="1006"/>
      <c r="C164" s="1007"/>
      <c r="D164" s="1008"/>
      <c r="E164" s="1009"/>
      <c r="F164" s="1009"/>
      <c r="G164" s="1010"/>
      <c r="H164" s="1008"/>
      <c r="I164" s="1011"/>
      <c r="J164" s="1011"/>
      <c r="K164" s="1011"/>
      <c r="L164" s="1012"/>
      <c r="M164" s="1008"/>
      <c r="N164" s="1013"/>
      <c r="O164" s="1008"/>
      <c r="P164" s="1011"/>
      <c r="Q164" s="1014"/>
      <c r="R164" s="1015"/>
      <c r="T164" s="1080">
        <f t="shared" si="2"/>
        <v>0</v>
      </c>
    </row>
    <row r="165" spans="2:20" ht="18">
      <c r="B165" s="1006"/>
      <c r="C165" s="1007"/>
      <c r="D165" s="1008"/>
      <c r="E165" s="1009"/>
      <c r="F165" s="1009"/>
      <c r="G165" s="1010"/>
      <c r="H165" s="1008"/>
      <c r="I165" s="1011"/>
      <c r="J165" s="1011"/>
      <c r="K165" s="1011"/>
      <c r="L165" s="1012"/>
      <c r="M165" s="1008"/>
      <c r="N165" s="1013"/>
      <c r="O165" s="1008"/>
      <c r="P165" s="1011"/>
      <c r="Q165" s="1014"/>
      <c r="R165" s="1015"/>
      <c r="T165" s="1080">
        <f t="shared" si="2"/>
        <v>0</v>
      </c>
    </row>
    <row r="166" spans="2:20" ht="18">
      <c r="B166" s="1006"/>
      <c r="C166" s="1007"/>
      <c r="D166" s="1008"/>
      <c r="E166" s="1009"/>
      <c r="F166" s="1009"/>
      <c r="G166" s="1010"/>
      <c r="H166" s="1008"/>
      <c r="I166" s="1011"/>
      <c r="J166" s="1011"/>
      <c r="K166" s="1011"/>
      <c r="L166" s="1012"/>
      <c r="M166" s="1008"/>
      <c r="N166" s="1013"/>
      <c r="O166" s="1008"/>
      <c r="P166" s="1011"/>
      <c r="Q166" s="1014"/>
      <c r="R166" s="1015"/>
      <c r="T166" s="1080">
        <f t="shared" si="2"/>
        <v>0</v>
      </c>
    </row>
    <row r="167" spans="2:20" ht="18">
      <c r="B167" s="1006"/>
      <c r="C167" s="1007"/>
      <c r="D167" s="1008"/>
      <c r="E167" s="1009"/>
      <c r="F167" s="1009"/>
      <c r="G167" s="1010"/>
      <c r="H167" s="1008"/>
      <c r="I167" s="1011"/>
      <c r="J167" s="1011"/>
      <c r="K167" s="1011"/>
      <c r="L167" s="1012"/>
      <c r="M167" s="1008"/>
      <c r="N167" s="1013"/>
      <c r="O167" s="1008"/>
      <c r="P167" s="1011"/>
      <c r="Q167" s="1014"/>
      <c r="R167" s="1015"/>
      <c r="T167" s="1080">
        <f t="shared" si="2"/>
        <v>0</v>
      </c>
    </row>
    <row r="168" spans="2:20" ht="18">
      <c r="B168" s="1006"/>
      <c r="C168" s="1007"/>
      <c r="D168" s="1008"/>
      <c r="E168" s="1009"/>
      <c r="F168" s="1009"/>
      <c r="G168" s="1010"/>
      <c r="H168" s="1008"/>
      <c r="I168" s="1011"/>
      <c r="J168" s="1011"/>
      <c r="K168" s="1011"/>
      <c r="L168" s="1012"/>
      <c r="M168" s="1008"/>
      <c r="N168" s="1013"/>
      <c r="O168" s="1008"/>
      <c r="P168" s="1011"/>
      <c r="Q168" s="1014"/>
      <c r="R168" s="1015"/>
      <c r="T168" s="1080">
        <f t="shared" si="2"/>
        <v>0</v>
      </c>
    </row>
    <row r="169" spans="2:20" ht="18">
      <c r="B169" s="1006"/>
      <c r="C169" s="1007"/>
      <c r="D169" s="1008"/>
      <c r="E169" s="1009"/>
      <c r="F169" s="1009"/>
      <c r="G169" s="1010"/>
      <c r="H169" s="1008"/>
      <c r="I169" s="1011"/>
      <c r="J169" s="1011"/>
      <c r="K169" s="1011"/>
      <c r="L169" s="1012"/>
      <c r="M169" s="1008"/>
      <c r="N169" s="1013"/>
      <c r="O169" s="1008"/>
      <c r="P169" s="1011"/>
      <c r="Q169" s="1014"/>
      <c r="R169" s="1015"/>
      <c r="T169" s="1080">
        <f t="shared" si="2"/>
        <v>0</v>
      </c>
    </row>
    <row r="170" spans="2:20" ht="18">
      <c r="B170" s="1006"/>
      <c r="C170" s="1007"/>
      <c r="D170" s="1008"/>
      <c r="E170" s="1009"/>
      <c r="F170" s="1009"/>
      <c r="G170" s="1010"/>
      <c r="H170" s="1008"/>
      <c r="I170" s="1011"/>
      <c r="J170" s="1011"/>
      <c r="K170" s="1011"/>
      <c r="L170" s="1012"/>
      <c r="M170" s="1008"/>
      <c r="N170" s="1013"/>
      <c r="O170" s="1008"/>
      <c r="P170" s="1011"/>
      <c r="Q170" s="1014"/>
      <c r="R170" s="1015"/>
      <c r="T170" s="1080">
        <f t="shared" si="2"/>
        <v>0</v>
      </c>
    </row>
    <row r="171" spans="2:20">
      <c r="T171" s="1080">
        <f t="shared" si="2"/>
        <v>0</v>
      </c>
    </row>
    <row r="172" spans="2:20">
      <c r="T172" s="1080">
        <f t="shared" si="2"/>
        <v>0</v>
      </c>
    </row>
    <row r="173" spans="2:20">
      <c r="T173" s="1080">
        <f t="shared" si="2"/>
        <v>0</v>
      </c>
    </row>
    <row r="174" spans="2:20">
      <c r="T174" s="1080">
        <f t="shared" si="2"/>
        <v>0</v>
      </c>
    </row>
    <row r="175" spans="2:20">
      <c r="T175" s="1080">
        <f t="shared" si="2"/>
        <v>0</v>
      </c>
    </row>
    <row r="176" spans="2:20">
      <c r="T176" s="1080">
        <f t="shared" si="2"/>
        <v>0</v>
      </c>
    </row>
    <row r="177" spans="20:20">
      <c r="T177" s="1080">
        <f t="shared" si="2"/>
        <v>0</v>
      </c>
    </row>
    <row r="178" spans="20:20">
      <c r="T178" s="1080">
        <f t="shared" si="2"/>
        <v>0</v>
      </c>
    </row>
    <row r="179" spans="20:20">
      <c r="T179" s="1080">
        <f t="shared" si="2"/>
        <v>0</v>
      </c>
    </row>
    <row r="180" spans="20:20">
      <c r="T180" s="1080">
        <f t="shared" si="2"/>
        <v>0</v>
      </c>
    </row>
    <row r="181" spans="20:20">
      <c r="T181" s="1080">
        <f t="shared" si="2"/>
        <v>0</v>
      </c>
    </row>
    <row r="182" spans="20:20">
      <c r="T182" s="1080">
        <f t="shared" si="2"/>
        <v>0</v>
      </c>
    </row>
    <row r="183" spans="20:20">
      <c r="T183" s="1080">
        <f t="shared" si="2"/>
        <v>0</v>
      </c>
    </row>
    <row r="184" spans="20:20">
      <c r="T184" s="1080">
        <f t="shared" si="2"/>
        <v>0</v>
      </c>
    </row>
    <row r="185" spans="20:20">
      <c r="T185" s="1080">
        <f t="shared" si="2"/>
        <v>0</v>
      </c>
    </row>
    <row r="186" spans="20:20">
      <c r="T186" s="1080">
        <f t="shared" si="2"/>
        <v>0</v>
      </c>
    </row>
    <row r="187" spans="20:20">
      <c r="T187" s="1080">
        <f t="shared" si="2"/>
        <v>0</v>
      </c>
    </row>
    <row r="188" spans="20:20">
      <c r="T188" s="1080">
        <f t="shared" si="2"/>
        <v>0</v>
      </c>
    </row>
    <row r="189" spans="20:20">
      <c r="T189" s="1080">
        <f t="shared" si="2"/>
        <v>0</v>
      </c>
    </row>
    <row r="190" spans="20:20">
      <c r="T190" s="1080">
        <f t="shared" si="2"/>
        <v>0</v>
      </c>
    </row>
    <row r="191" spans="20:20">
      <c r="T191" s="1080">
        <f t="shared" si="2"/>
        <v>0</v>
      </c>
    </row>
    <row r="192" spans="20:20">
      <c r="T192" s="1080">
        <f t="shared" si="2"/>
        <v>0</v>
      </c>
    </row>
    <row r="193" spans="20:20">
      <c r="T193" s="1080">
        <f t="shared" si="2"/>
        <v>0</v>
      </c>
    </row>
    <row r="194" spans="20:20">
      <c r="T194" s="1080">
        <f t="shared" si="2"/>
        <v>0</v>
      </c>
    </row>
    <row r="195" spans="20:20">
      <c r="T195" s="1080">
        <f t="shared" si="2"/>
        <v>0</v>
      </c>
    </row>
    <row r="196" spans="20:20">
      <c r="T196" s="1080">
        <f t="shared" si="2"/>
        <v>0</v>
      </c>
    </row>
    <row r="197" spans="20:20">
      <c r="T197" s="1080">
        <f t="shared" si="2"/>
        <v>0</v>
      </c>
    </row>
    <row r="198" spans="20:20">
      <c r="T198" s="1080">
        <f t="shared" si="2"/>
        <v>0</v>
      </c>
    </row>
    <row r="199" spans="20:20">
      <c r="T199" s="1080">
        <f t="shared" si="2"/>
        <v>0</v>
      </c>
    </row>
    <row r="200" spans="20:20">
      <c r="T200" s="1080">
        <f t="shared" si="2"/>
        <v>0</v>
      </c>
    </row>
    <row r="201" spans="20:20">
      <c r="T201" s="1080">
        <f t="shared" si="2"/>
        <v>0</v>
      </c>
    </row>
    <row r="202" spans="20:20">
      <c r="T202" s="1080">
        <f t="shared" si="2"/>
        <v>0</v>
      </c>
    </row>
    <row r="203" spans="20:20">
      <c r="T203" s="1080">
        <f t="shared" ref="T203:T266" si="3">SUMIF($B$10:$B$360,B203,$K$10:$K$360)</f>
        <v>0</v>
      </c>
    </row>
    <row r="204" spans="20:20">
      <c r="T204" s="1080">
        <f t="shared" si="3"/>
        <v>0</v>
      </c>
    </row>
    <row r="205" spans="20:20">
      <c r="T205" s="1080">
        <f t="shared" si="3"/>
        <v>0</v>
      </c>
    </row>
    <row r="206" spans="20:20">
      <c r="T206" s="1080">
        <f t="shared" si="3"/>
        <v>0</v>
      </c>
    </row>
    <row r="207" spans="20:20">
      <c r="T207" s="1080">
        <f t="shared" si="3"/>
        <v>0</v>
      </c>
    </row>
    <row r="208" spans="20:20">
      <c r="T208" s="1080">
        <f t="shared" si="3"/>
        <v>0</v>
      </c>
    </row>
    <row r="209" spans="20:20">
      <c r="T209" s="1080">
        <f t="shared" si="3"/>
        <v>0</v>
      </c>
    </row>
    <row r="210" spans="20:20">
      <c r="T210" s="1080">
        <f t="shared" si="3"/>
        <v>0</v>
      </c>
    </row>
    <row r="211" spans="20:20">
      <c r="T211" s="1080">
        <f t="shared" si="3"/>
        <v>0</v>
      </c>
    </row>
    <row r="212" spans="20:20">
      <c r="T212" s="1080">
        <f t="shared" si="3"/>
        <v>0</v>
      </c>
    </row>
    <row r="213" spans="20:20">
      <c r="T213" s="1080">
        <f t="shared" si="3"/>
        <v>0</v>
      </c>
    </row>
    <row r="214" spans="20:20">
      <c r="T214" s="1080">
        <f t="shared" si="3"/>
        <v>0</v>
      </c>
    </row>
    <row r="215" spans="20:20">
      <c r="T215" s="1080">
        <f t="shared" si="3"/>
        <v>0</v>
      </c>
    </row>
    <row r="216" spans="20:20">
      <c r="T216" s="1080">
        <f t="shared" si="3"/>
        <v>0</v>
      </c>
    </row>
    <row r="217" spans="20:20">
      <c r="T217" s="1080">
        <f t="shared" si="3"/>
        <v>0</v>
      </c>
    </row>
    <row r="218" spans="20:20">
      <c r="T218" s="1080">
        <f t="shared" si="3"/>
        <v>0</v>
      </c>
    </row>
    <row r="219" spans="20:20">
      <c r="T219" s="1080">
        <f t="shared" si="3"/>
        <v>0</v>
      </c>
    </row>
    <row r="220" spans="20:20">
      <c r="T220" s="1080">
        <f t="shared" si="3"/>
        <v>0</v>
      </c>
    </row>
    <row r="221" spans="20:20">
      <c r="T221" s="1080">
        <f t="shared" si="3"/>
        <v>0</v>
      </c>
    </row>
    <row r="222" spans="20:20">
      <c r="T222" s="1080">
        <f t="shared" si="3"/>
        <v>0</v>
      </c>
    </row>
    <row r="223" spans="20:20">
      <c r="T223" s="1080">
        <f t="shared" si="3"/>
        <v>0</v>
      </c>
    </row>
    <row r="224" spans="20:20">
      <c r="T224" s="1080">
        <f t="shared" si="3"/>
        <v>0</v>
      </c>
    </row>
    <row r="225" spans="20:20">
      <c r="T225" s="1080">
        <f t="shared" si="3"/>
        <v>0</v>
      </c>
    </row>
    <row r="226" spans="20:20">
      <c r="T226" s="1080">
        <f t="shared" si="3"/>
        <v>0</v>
      </c>
    </row>
    <row r="227" spans="20:20">
      <c r="T227" s="1080">
        <f t="shared" si="3"/>
        <v>0</v>
      </c>
    </row>
    <row r="228" spans="20:20">
      <c r="T228" s="1080">
        <f t="shared" si="3"/>
        <v>0</v>
      </c>
    </row>
    <row r="229" spans="20:20">
      <c r="T229" s="1080">
        <f t="shared" si="3"/>
        <v>0</v>
      </c>
    </row>
    <row r="230" spans="20:20">
      <c r="T230" s="1080">
        <f t="shared" si="3"/>
        <v>0</v>
      </c>
    </row>
    <row r="231" spans="20:20">
      <c r="T231" s="1080">
        <f t="shared" si="3"/>
        <v>0</v>
      </c>
    </row>
    <row r="232" spans="20:20">
      <c r="T232" s="1080">
        <f t="shared" si="3"/>
        <v>0</v>
      </c>
    </row>
    <row r="233" spans="20:20">
      <c r="T233" s="1080">
        <f t="shared" si="3"/>
        <v>0</v>
      </c>
    </row>
    <row r="234" spans="20:20">
      <c r="T234" s="1080">
        <f t="shared" si="3"/>
        <v>0</v>
      </c>
    </row>
    <row r="235" spans="20:20">
      <c r="T235" s="1080">
        <f t="shared" si="3"/>
        <v>0</v>
      </c>
    </row>
    <row r="236" spans="20:20">
      <c r="T236" s="1080">
        <f t="shared" si="3"/>
        <v>0</v>
      </c>
    </row>
    <row r="237" spans="20:20">
      <c r="T237" s="1080">
        <f t="shared" si="3"/>
        <v>0</v>
      </c>
    </row>
    <row r="238" spans="20:20">
      <c r="T238" s="1080">
        <f t="shared" si="3"/>
        <v>0</v>
      </c>
    </row>
    <row r="239" spans="20:20">
      <c r="T239" s="1080">
        <f t="shared" si="3"/>
        <v>0</v>
      </c>
    </row>
    <row r="240" spans="20:20">
      <c r="T240" s="1080">
        <f t="shared" si="3"/>
        <v>0</v>
      </c>
    </row>
    <row r="241" spans="20:20">
      <c r="T241" s="1080">
        <f t="shared" si="3"/>
        <v>0</v>
      </c>
    </row>
    <row r="242" spans="20:20">
      <c r="T242" s="1080">
        <f t="shared" si="3"/>
        <v>0</v>
      </c>
    </row>
    <row r="243" spans="20:20">
      <c r="T243" s="1080">
        <f t="shared" si="3"/>
        <v>0</v>
      </c>
    </row>
    <row r="244" spans="20:20">
      <c r="T244" s="1080">
        <f t="shared" si="3"/>
        <v>0</v>
      </c>
    </row>
    <row r="245" spans="20:20">
      <c r="T245" s="1080">
        <f t="shared" si="3"/>
        <v>0</v>
      </c>
    </row>
    <row r="246" spans="20:20">
      <c r="T246" s="1080">
        <f t="shared" si="3"/>
        <v>0</v>
      </c>
    </row>
    <row r="247" spans="20:20">
      <c r="T247" s="1080">
        <f t="shared" si="3"/>
        <v>0</v>
      </c>
    </row>
    <row r="248" spans="20:20">
      <c r="T248" s="1080">
        <f t="shared" si="3"/>
        <v>0</v>
      </c>
    </row>
    <row r="249" spans="20:20">
      <c r="T249" s="1080">
        <f t="shared" si="3"/>
        <v>0</v>
      </c>
    </row>
    <row r="250" spans="20:20">
      <c r="T250" s="1080">
        <f t="shared" si="3"/>
        <v>0</v>
      </c>
    </row>
    <row r="251" spans="20:20">
      <c r="T251" s="1080">
        <f t="shared" si="3"/>
        <v>0</v>
      </c>
    </row>
    <row r="252" spans="20:20">
      <c r="T252" s="1080">
        <f t="shared" si="3"/>
        <v>0</v>
      </c>
    </row>
    <row r="253" spans="20:20">
      <c r="T253" s="1080">
        <f t="shared" si="3"/>
        <v>0</v>
      </c>
    </row>
    <row r="254" spans="20:20">
      <c r="T254" s="1080">
        <f t="shared" si="3"/>
        <v>0</v>
      </c>
    </row>
    <row r="255" spans="20:20">
      <c r="T255" s="1080">
        <f t="shared" si="3"/>
        <v>0</v>
      </c>
    </row>
    <row r="256" spans="20:20">
      <c r="T256" s="1080">
        <f t="shared" si="3"/>
        <v>0</v>
      </c>
    </row>
    <row r="257" spans="20:20">
      <c r="T257" s="1080">
        <f t="shared" si="3"/>
        <v>0</v>
      </c>
    </row>
    <row r="258" spans="20:20">
      <c r="T258" s="1080">
        <f t="shared" si="3"/>
        <v>0</v>
      </c>
    </row>
    <row r="259" spans="20:20">
      <c r="T259" s="1080">
        <f t="shared" si="3"/>
        <v>0</v>
      </c>
    </row>
    <row r="260" spans="20:20">
      <c r="T260" s="1080">
        <f t="shared" si="3"/>
        <v>0</v>
      </c>
    </row>
    <row r="261" spans="20:20">
      <c r="T261" s="1080">
        <f t="shared" si="3"/>
        <v>0</v>
      </c>
    </row>
    <row r="262" spans="20:20">
      <c r="T262" s="1080">
        <f t="shared" si="3"/>
        <v>0</v>
      </c>
    </row>
    <row r="263" spans="20:20">
      <c r="T263" s="1080">
        <f t="shared" si="3"/>
        <v>0</v>
      </c>
    </row>
    <row r="264" spans="20:20">
      <c r="T264" s="1080">
        <f t="shared" si="3"/>
        <v>0</v>
      </c>
    </row>
    <row r="265" spans="20:20">
      <c r="T265" s="1080">
        <f t="shared" si="3"/>
        <v>0</v>
      </c>
    </row>
    <row r="266" spans="20:20">
      <c r="T266" s="1080">
        <f t="shared" si="3"/>
        <v>0</v>
      </c>
    </row>
    <row r="267" spans="20:20">
      <c r="T267" s="1080">
        <f t="shared" ref="T267:T330" si="4">SUMIF($B$10:$B$360,B267,$K$10:$K$360)</f>
        <v>0</v>
      </c>
    </row>
    <row r="268" spans="20:20">
      <c r="T268" s="1080">
        <f t="shared" si="4"/>
        <v>0</v>
      </c>
    </row>
    <row r="269" spans="20:20">
      <c r="T269" s="1080">
        <f t="shared" si="4"/>
        <v>0</v>
      </c>
    </row>
    <row r="270" spans="20:20">
      <c r="T270" s="1080">
        <f t="shared" si="4"/>
        <v>0</v>
      </c>
    </row>
    <row r="271" spans="20:20">
      <c r="T271" s="1080">
        <f t="shared" si="4"/>
        <v>0</v>
      </c>
    </row>
    <row r="272" spans="20:20">
      <c r="T272" s="1080">
        <f t="shared" si="4"/>
        <v>0</v>
      </c>
    </row>
    <row r="273" spans="20:20">
      <c r="T273" s="1080">
        <f t="shared" si="4"/>
        <v>0</v>
      </c>
    </row>
    <row r="274" spans="20:20">
      <c r="T274" s="1080">
        <f t="shared" si="4"/>
        <v>0</v>
      </c>
    </row>
    <row r="275" spans="20:20">
      <c r="T275" s="1080">
        <f t="shared" si="4"/>
        <v>0</v>
      </c>
    </row>
    <row r="276" spans="20:20">
      <c r="T276" s="1080">
        <f t="shared" si="4"/>
        <v>0</v>
      </c>
    </row>
    <row r="277" spans="20:20">
      <c r="T277" s="1080">
        <f t="shared" si="4"/>
        <v>0</v>
      </c>
    </row>
    <row r="278" spans="20:20">
      <c r="T278" s="1080">
        <f t="shared" si="4"/>
        <v>0</v>
      </c>
    </row>
    <row r="279" spans="20:20">
      <c r="T279" s="1080">
        <f t="shared" si="4"/>
        <v>0</v>
      </c>
    </row>
    <row r="280" spans="20:20">
      <c r="T280" s="1080">
        <f t="shared" si="4"/>
        <v>0</v>
      </c>
    </row>
    <row r="281" spans="20:20">
      <c r="T281" s="1080">
        <f t="shared" si="4"/>
        <v>0</v>
      </c>
    </row>
    <row r="282" spans="20:20">
      <c r="T282" s="1080">
        <f t="shared" si="4"/>
        <v>0</v>
      </c>
    </row>
    <row r="283" spans="20:20">
      <c r="T283" s="1080">
        <f t="shared" si="4"/>
        <v>0</v>
      </c>
    </row>
    <row r="284" spans="20:20">
      <c r="T284" s="1080">
        <f t="shared" si="4"/>
        <v>0</v>
      </c>
    </row>
    <row r="285" spans="20:20">
      <c r="T285" s="1080">
        <f t="shared" si="4"/>
        <v>0</v>
      </c>
    </row>
    <row r="286" spans="20:20">
      <c r="T286" s="1080">
        <f t="shared" si="4"/>
        <v>0</v>
      </c>
    </row>
    <row r="287" spans="20:20">
      <c r="T287" s="1080">
        <f t="shared" si="4"/>
        <v>0</v>
      </c>
    </row>
    <row r="288" spans="20:20">
      <c r="T288" s="1080">
        <f t="shared" si="4"/>
        <v>0</v>
      </c>
    </row>
    <row r="289" spans="20:20">
      <c r="T289" s="1080">
        <f t="shared" si="4"/>
        <v>0</v>
      </c>
    </row>
    <row r="290" spans="20:20">
      <c r="T290" s="1080">
        <f t="shared" si="4"/>
        <v>0</v>
      </c>
    </row>
    <row r="291" spans="20:20">
      <c r="T291" s="1080">
        <f t="shared" si="4"/>
        <v>0</v>
      </c>
    </row>
    <row r="292" spans="20:20">
      <c r="T292" s="1080">
        <f t="shared" si="4"/>
        <v>0</v>
      </c>
    </row>
    <row r="293" spans="20:20">
      <c r="T293" s="1080">
        <f t="shared" si="4"/>
        <v>0</v>
      </c>
    </row>
    <row r="294" spans="20:20">
      <c r="T294" s="1080">
        <f t="shared" si="4"/>
        <v>0</v>
      </c>
    </row>
    <row r="295" spans="20:20">
      <c r="T295" s="1080">
        <f t="shared" si="4"/>
        <v>0</v>
      </c>
    </row>
    <row r="296" spans="20:20">
      <c r="T296" s="1080">
        <f t="shared" si="4"/>
        <v>0</v>
      </c>
    </row>
    <row r="297" spans="20:20">
      <c r="T297" s="1080">
        <f t="shared" si="4"/>
        <v>0</v>
      </c>
    </row>
    <row r="298" spans="20:20">
      <c r="T298" s="1080">
        <f t="shared" si="4"/>
        <v>0</v>
      </c>
    </row>
    <row r="299" spans="20:20">
      <c r="T299" s="1080">
        <f t="shared" si="4"/>
        <v>0</v>
      </c>
    </row>
    <row r="300" spans="20:20">
      <c r="T300" s="1080">
        <f t="shared" si="4"/>
        <v>0</v>
      </c>
    </row>
    <row r="301" spans="20:20">
      <c r="T301" s="1080">
        <f t="shared" si="4"/>
        <v>0</v>
      </c>
    </row>
    <row r="302" spans="20:20">
      <c r="T302" s="1080">
        <f t="shared" si="4"/>
        <v>0</v>
      </c>
    </row>
    <row r="303" spans="20:20">
      <c r="T303" s="1080">
        <f t="shared" si="4"/>
        <v>0</v>
      </c>
    </row>
    <row r="304" spans="20:20">
      <c r="T304" s="1080">
        <f t="shared" si="4"/>
        <v>0</v>
      </c>
    </row>
    <row r="305" spans="20:20">
      <c r="T305" s="1080">
        <f t="shared" si="4"/>
        <v>0</v>
      </c>
    </row>
    <row r="306" spans="20:20">
      <c r="T306" s="1080">
        <f t="shared" si="4"/>
        <v>0</v>
      </c>
    </row>
    <row r="307" spans="20:20">
      <c r="T307" s="1080">
        <f t="shared" si="4"/>
        <v>0</v>
      </c>
    </row>
    <row r="308" spans="20:20">
      <c r="T308" s="1080">
        <f t="shared" si="4"/>
        <v>0</v>
      </c>
    </row>
    <row r="309" spans="20:20">
      <c r="T309" s="1080">
        <f t="shared" si="4"/>
        <v>0</v>
      </c>
    </row>
    <row r="310" spans="20:20">
      <c r="T310" s="1080">
        <f t="shared" si="4"/>
        <v>0</v>
      </c>
    </row>
    <row r="311" spans="20:20">
      <c r="T311" s="1080">
        <f t="shared" si="4"/>
        <v>0</v>
      </c>
    </row>
    <row r="312" spans="20:20">
      <c r="T312" s="1080">
        <f t="shared" si="4"/>
        <v>0</v>
      </c>
    </row>
    <row r="313" spans="20:20">
      <c r="T313" s="1080">
        <f t="shared" si="4"/>
        <v>0</v>
      </c>
    </row>
    <row r="314" spans="20:20">
      <c r="T314" s="1080">
        <f t="shared" si="4"/>
        <v>0</v>
      </c>
    </row>
    <row r="315" spans="20:20">
      <c r="T315" s="1080">
        <f t="shared" si="4"/>
        <v>0</v>
      </c>
    </row>
    <row r="316" spans="20:20">
      <c r="T316" s="1080">
        <f t="shared" si="4"/>
        <v>0</v>
      </c>
    </row>
    <row r="317" spans="20:20">
      <c r="T317" s="1080">
        <f t="shared" si="4"/>
        <v>0</v>
      </c>
    </row>
    <row r="318" spans="20:20">
      <c r="T318" s="1080">
        <f t="shared" si="4"/>
        <v>0</v>
      </c>
    </row>
    <row r="319" spans="20:20">
      <c r="T319" s="1080">
        <f t="shared" si="4"/>
        <v>0</v>
      </c>
    </row>
    <row r="320" spans="20:20">
      <c r="T320" s="1080">
        <f t="shared" si="4"/>
        <v>0</v>
      </c>
    </row>
    <row r="321" spans="20:20">
      <c r="T321" s="1080">
        <f t="shared" si="4"/>
        <v>0</v>
      </c>
    </row>
    <row r="322" spans="20:20">
      <c r="T322" s="1080">
        <f t="shared" si="4"/>
        <v>0</v>
      </c>
    </row>
    <row r="323" spans="20:20">
      <c r="T323" s="1080">
        <f t="shared" si="4"/>
        <v>0</v>
      </c>
    </row>
    <row r="324" spans="20:20">
      <c r="T324" s="1080">
        <f t="shared" si="4"/>
        <v>0</v>
      </c>
    </row>
    <row r="325" spans="20:20">
      <c r="T325" s="1080">
        <f t="shared" si="4"/>
        <v>0</v>
      </c>
    </row>
    <row r="326" spans="20:20">
      <c r="T326" s="1080">
        <f t="shared" si="4"/>
        <v>0</v>
      </c>
    </row>
    <row r="327" spans="20:20">
      <c r="T327" s="1080">
        <f t="shared" si="4"/>
        <v>0</v>
      </c>
    </row>
    <row r="328" spans="20:20">
      <c r="T328" s="1080">
        <f t="shared" si="4"/>
        <v>0</v>
      </c>
    </row>
    <row r="329" spans="20:20">
      <c r="T329" s="1080">
        <f t="shared" si="4"/>
        <v>0</v>
      </c>
    </row>
    <row r="330" spans="20:20">
      <c r="T330" s="1080">
        <f t="shared" si="4"/>
        <v>0</v>
      </c>
    </row>
    <row r="331" spans="20:20">
      <c r="T331" s="1080">
        <f t="shared" ref="T331:T360" si="5">SUMIF($B$10:$B$360,B331,$K$10:$K$360)</f>
        <v>0</v>
      </c>
    </row>
    <row r="332" spans="20:20">
      <c r="T332" s="1080">
        <f t="shared" si="5"/>
        <v>0</v>
      </c>
    </row>
    <row r="333" spans="20:20">
      <c r="T333" s="1080">
        <f t="shared" si="5"/>
        <v>0</v>
      </c>
    </row>
    <row r="334" spans="20:20">
      <c r="T334" s="1080">
        <f t="shared" si="5"/>
        <v>0</v>
      </c>
    </row>
    <row r="335" spans="20:20">
      <c r="T335" s="1080">
        <f t="shared" si="5"/>
        <v>0</v>
      </c>
    </row>
    <row r="336" spans="20:20">
      <c r="T336" s="1080">
        <f t="shared" si="5"/>
        <v>0</v>
      </c>
    </row>
    <row r="337" spans="20:20">
      <c r="T337" s="1080">
        <f t="shared" si="5"/>
        <v>0</v>
      </c>
    </row>
    <row r="338" spans="20:20">
      <c r="T338" s="1080">
        <f t="shared" si="5"/>
        <v>0</v>
      </c>
    </row>
    <row r="339" spans="20:20">
      <c r="T339" s="1080">
        <f t="shared" si="5"/>
        <v>0</v>
      </c>
    </row>
    <row r="340" spans="20:20">
      <c r="T340" s="1080">
        <f t="shared" si="5"/>
        <v>0</v>
      </c>
    </row>
    <row r="341" spans="20:20">
      <c r="T341" s="1080">
        <f t="shared" si="5"/>
        <v>0</v>
      </c>
    </row>
    <row r="342" spans="20:20">
      <c r="T342" s="1080">
        <f t="shared" si="5"/>
        <v>0</v>
      </c>
    </row>
    <row r="343" spans="20:20">
      <c r="T343" s="1080">
        <f t="shared" si="5"/>
        <v>0</v>
      </c>
    </row>
    <row r="344" spans="20:20">
      <c r="T344" s="1080">
        <f t="shared" si="5"/>
        <v>0</v>
      </c>
    </row>
    <row r="345" spans="20:20">
      <c r="T345" s="1080">
        <f t="shared" si="5"/>
        <v>0</v>
      </c>
    </row>
    <row r="346" spans="20:20">
      <c r="T346" s="1080">
        <f t="shared" si="5"/>
        <v>0</v>
      </c>
    </row>
    <row r="347" spans="20:20">
      <c r="T347" s="1080">
        <f t="shared" si="5"/>
        <v>0</v>
      </c>
    </row>
    <row r="348" spans="20:20">
      <c r="T348" s="1080">
        <f t="shared" si="5"/>
        <v>0</v>
      </c>
    </row>
    <row r="349" spans="20:20">
      <c r="T349" s="1080">
        <f t="shared" si="5"/>
        <v>0</v>
      </c>
    </row>
    <row r="350" spans="20:20">
      <c r="T350" s="1080">
        <f t="shared" si="5"/>
        <v>0</v>
      </c>
    </row>
    <row r="351" spans="20:20">
      <c r="T351" s="1080">
        <f t="shared" si="5"/>
        <v>0</v>
      </c>
    </row>
    <row r="352" spans="20:20">
      <c r="T352" s="1080">
        <f t="shared" si="5"/>
        <v>0</v>
      </c>
    </row>
    <row r="353" spans="20:20">
      <c r="T353" s="1080">
        <f t="shared" si="5"/>
        <v>0</v>
      </c>
    </row>
    <row r="354" spans="20:20">
      <c r="T354" s="1080">
        <f t="shared" si="5"/>
        <v>0</v>
      </c>
    </row>
    <row r="355" spans="20:20">
      <c r="T355" s="1080">
        <f t="shared" si="5"/>
        <v>0</v>
      </c>
    </row>
    <row r="356" spans="20:20">
      <c r="T356" s="1080">
        <f t="shared" si="5"/>
        <v>0</v>
      </c>
    </row>
    <row r="357" spans="20:20">
      <c r="T357" s="1080">
        <f t="shared" si="5"/>
        <v>0</v>
      </c>
    </row>
    <row r="358" spans="20:20">
      <c r="T358" s="1080">
        <f t="shared" si="5"/>
        <v>0</v>
      </c>
    </row>
    <row r="359" spans="20:20">
      <c r="T359" s="1080">
        <f t="shared" si="5"/>
        <v>0</v>
      </c>
    </row>
    <row r="360" spans="20:20">
      <c r="T360" s="1080">
        <f t="shared" si="5"/>
        <v>0</v>
      </c>
    </row>
  </sheetData>
  <sheetProtection password="E9D4" sheet="1" objects="1" scenarios="1"/>
  <customSheetViews>
    <customSheetView guid="{871F8275-217B-436F-8813-871F820F0EE4}" scale="85" showPageBreaks="1" showGridLines="0" printArea="1" view="pageBreakPreview">
      <selection activeCell="A15" sqref="A15"/>
      <pageMargins left="0.31496062992125984" right="0.31496062992125984" top="0.39370078740157483" bottom="0.39370078740157483" header="0.19685039370078741" footer="0.19685039370078741"/>
      <pageSetup paperSize="9" scale="56" orientation="landscape" r:id="rId1"/>
      <headerFooter alignWithMargins="0">
        <oddFooter>&amp;L&amp;7&amp;D&amp;C&amp;7&amp;P&amp;R&amp;7&amp;F</oddFooter>
      </headerFooter>
    </customSheetView>
    <customSheetView guid="{2EBF18CB-80C9-43ED-A978-2AAEAC40933E}" scale="75" showGridLines="0" showRuler="0">
      <selection activeCell="R15" sqref="R15"/>
      <rowBreaks count="1" manualBreakCount="1">
        <brk id="48" max="16" man="1"/>
      </rowBreaks>
      <pageMargins left="0.31496062992125984" right="0.31496062992125984" top="0.39370078740157483" bottom="0.39370078740157483" header="0.19685039370078741" footer="0.19685039370078741"/>
      <pageSetup paperSize="9" scale="61" orientation="landscape" horizontalDpi="300" verticalDpi="300" r:id="rId2"/>
      <headerFooter alignWithMargins="0">
        <oddFooter>&amp;L&amp;7&amp;D&amp;C&amp;7&amp;P&amp;R&amp;7&amp;F</oddFooter>
      </headerFooter>
    </customSheetView>
    <customSheetView guid="{47D3AB49-9599-4A16-951B-F48FEC1C0136}" scale="75" showGridLines="0" topLeftCell="C1">
      <selection activeCell="L10" sqref="L10"/>
      <rowBreaks count="1" manualBreakCount="1">
        <brk id="48" max="16" man="1"/>
      </rowBreaks>
      <pageMargins left="0.31496062992125984" right="0.31496062992125984" top="0.39370078740157483" bottom="0.39370078740157483" header="0.19685039370078741" footer="0.19685039370078741"/>
      <pageSetup paperSize="9" scale="61" orientation="landscape" horizontalDpi="300" verticalDpi="300" r:id="rId3"/>
      <headerFooter alignWithMargins="0">
        <oddFooter>&amp;L&amp;7&amp;D&amp;C&amp;7&amp;P&amp;R&amp;7&amp;F</oddFooter>
      </headerFooter>
    </customSheetView>
    <customSheetView guid="{ECE607A2-8A26-46E0-8BDC-E9AD788F604C}" scale="85" showPageBreaks="1" showGridLines="0" printArea="1" view="pageBreakPreview">
      <selection activeCell="E13" sqref="E13"/>
      <pageMargins left="0.31496062992125984" right="0.31496062992125984" top="0.39370078740157483" bottom="0.39370078740157483" header="0.19685039370078741" footer="0.19685039370078741"/>
      <pageSetup paperSize="9" scale="56" orientation="landscape" r:id="rId4"/>
      <headerFooter alignWithMargins="0">
        <oddFooter>&amp;L&amp;7&amp;D&amp;C&amp;7&amp;P&amp;R&amp;7&amp;F</oddFooter>
      </headerFooter>
    </customSheetView>
    <customSheetView guid="{FB1E0752-409C-4E7D-BCFE-7AEBEB8B5F0D}" scale="85" showPageBreaks="1" showGridLines="0" printArea="1" view="pageBreakPreview" topLeftCell="E1">
      <selection activeCell="R18" sqref="R18"/>
      <pageMargins left="0.31496062992125984" right="0.31496062992125984" top="0.39370078740157483" bottom="0.39370078740157483" header="0.19685039370078741" footer="0.19685039370078741"/>
      <pageSetup paperSize="9" scale="56" orientation="landscape" r:id="rId5"/>
      <headerFooter alignWithMargins="0">
        <oddFooter>&amp;L&amp;7&amp;D&amp;C&amp;7&amp;P&amp;R&amp;7&amp;F</oddFooter>
      </headerFooter>
    </customSheetView>
  </customSheetViews>
  <mergeCells count="1">
    <mergeCell ref="P1:R1"/>
  </mergeCells>
  <phoneticPr fontId="0" type="noConversion"/>
  <pageMargins left="0.31496062992125984" right="0.31496062992125984" top="0.39370078740157483" bottom="0.39370078740157483" header="0.19685039370078741" footer="0.19685039370078741"/>
  <pageSetup paperSize="9" scale="55" orientation="landscape" r:id="rId6"/>
  <headerFooter alignWithMargins="0">
    <oddFooter>&amp;L&amp;7&amp;D&amp;C&amp;7&amp;P&amp;R&amp;7&amp;F</oddFooter>
  </headerFooter>
</worksheet>
</file>

<file path=xl/worksheets/sheet22.xml><?xml version="1.0" encoding="utf-8"?>
<worksheet xmlns="http://schemas.openxmlformats.org/spreadsheetml/2006/main" xmlns:r="http://schemas.openxmlformats.org/officeDocument/2006/relationships">
  <sheetPr codeName="Лист23"/>
  <dimension ref="B1:N29"/>
  <sheetViews>
    <sheetView workbookViewId="0"/>
  </sheetViews>
  <sheetFormatPr defaultRowHeight="15"/>
  <cols>
    <col min="1" max="1" width="1.7109375" style="216" customWidth="1"/>
    <col min="2" max="2" width="11.28515625" style="216" bestFit="1" customWidth="1"/>
    <col min="3" max="3" width="30.28515625" style="216" customWidth="1"/>
    <col min="4" max="5" width="15.7109375" style="216" customWidth="1"/>
    <col min="6" max="8" width="15" style="216" customWidth="1"/>
    <col min="9" max="9" width="14.28515625" style="216" customWidth="1"/>
    <col min="10" max="10" width="15.42578125" style="216" customWidth="1"/>
    <col min="11" max="11" width="15.28515625" style="216" customWidth="1"/>
    <col min="12" max="12" width="15.7109375" style="216" customWidth="1"/>
    <col min="13" max="13" width="13.42578125" style="216" customWidth="1"/>
    <col min="14" max="14" width="16.42578125" style="216" customWidth="1"/>
    <col min="15" max="16384" width="9.140625" style="216"/>
  </cols>
  <sheetData>
    <row r="1" spans="2:14" s="334" customFormat="1" ht="31.5" customHeight="1">
      <c r="B1" s="403"/>
      <c r="C1" s="403"/>
      <c r="D1" s="403"/>
      <c r="E1" s="403"/>
      <c r="F1" s="403"/>
      <c r="G1" s="403"/>
      <c r="H1" s="403"/>
      <c r="I1" s="403"/>
      <c r="K1" s="403"/>
      <c r="L1" s="1189" t="s">
        <v>1866</v>
      </c>
      <c r="M1" s="1168"/>
      <c r="N1" s="1168"/>
    </row>
    <row r="2" spans="2:14" s="334" customFormat="1" ht="18">
      <c r="C2" s="39" t="str">
        <f>T!E18</f>
        <v>Номгӯи ташкилоти қарзӣ</v>
      </c>
      <c r="D2" s="404"/>
      <c r="E2" s="404"/>
      <c r="F2" s="404"/>
      <c r="G2" s="404"/>
      <c r="H2" s="404"/>
      <c r="I2" s="404"/>
      <c r="J2" s="404"/>
      <c r="K2" s="404"/>
      <c r="L2" s="37"/>
    </row>
    <row r="3" spans="2:14" s="334" customFormat="1" ht="18">
      <c r="B3" s="403"/>
      <c r="C3" s="405" t="str">
        <f>T!B10</f>
        <v>Ҳисобот дар санаи</v>
      </c>
      <c r="D3" s="404"/>
      <c r="E3" s="404"/>
      <c r="F3" s="404"/>
      <c r="G3" s="404"/>
      <c r="H3" s="404"/>
      <c r="I3" s="404"/>
      <c r="J3" s="404"/>
      <c r="K3" s="1208"/>
      <c r="L3" s="1208"/>
    </row>
    <row r="4" spans="2:14" s="334" customFormat="1" ht="18">
      <c r="B4" s="406"/>
      <c r="C4" s="1209" t="str">
        <f>'List of Scedules'!B21</f>
        <v>ҶАДВАЛИ 11.01. ГУРӮҲБАНДИИ ДОРОИҲО ВА ҲИСОБҲОИ ҒАЙРИТАВОЗУНӢ АЗ РӮИ СОҲАҲО</v>
      </c>
      <c r="D4" s="1209"/>
      <c r="E4" s="1209"/>
      <c r="F4" s="1209"/>
      <c r="G4" s="1209"/>
      <c r="H4" s="1209"/>
      <c r="I4" s="1209"/>
      <c r="J4" s="1209"/>
      <c r="K4" s="1209"/>
      <c r="L4" s="1209"/>
    </row>
    <row r="5" spans="2:14" ht="19.5">
      <c r="B5" s="407"/>
      <c r="C5" s="407"/>
      <c r="D5" s="407"/>
      <c r="E5" s="407"/>
      <c r="F5" s="407"/>
      <c r="G5" s="407"/>
      <c r="H5" s="407"/>
      <c r="I5" s="407"/>
      <c r="J5" s="407"/>
      <c r="K5" s="407"/>
      <c r="L5" s="408"/>
    </row>
    <row r="6" spans="2:14" ht="15.75" customHeight="1">
      <c r="B6" s="1206"/>
      <c r="C6" s="1206" t="s">
        <v>1725</v>
      </c>
      <c r="D6" s="1207" t="s">
        <v>1465</v>
      </c>
      <c r="E6" s="1207"/>
      <c r="F6" s="1207" t="s">
        <v>1542</v>
      </c>
      <c r="G6" s="1207"/>
      <c r="H6" s="1206" t="s">
        <v>1504</v>
      </c>
      <c r="I6" s="1206"/>
      <c r="J6" s="1206" t="s">
        <v>1726</v>
      </c>
      <c r="K6" s="1206"/>
      <c r="L6" s="1206" t="s">
        <v>1727</v>
      </c>
      <c r="M6" s="1206" t="s">
        <v>1728</v>
      </c>
      <c r="N6" s="1206" t="s">
        <v>1729</v>
      </c>
    </row>
    <row r="7" spans="2:14" ht="36">
      <c r="B7" s="1206"/>
      <c r="C7" s="1206"/>
      <c r="D7" s="392" t="s">
        <v>1730</v>
      </c>
      <c r="E7" s="392" t="s">
        <v>1731</v>
      </c>
      <c r="F7" s="392" t="s">
        <v>1730</v>
      </c>
      <c r="G7" s="392" t="s">
        <v>1731</v>
      </c>
      <c r="H7" s="392" t="s">
        <v>1730</v>
      </c>
      <c r="I7" s="392" t="s">
        <v>1731</v>
      </c>
      <c r="J7" s="392" t="s">
        <v>1730</v>
      </c>
      <c r="K7" s="392" t="s">
        <v>1731</v>
      </c>
      <c r="L7" s="1206"/>
      <c r="M7" s="1207"/>
      <c r="N7" s="1206"/>
    </row>
    <row r="8" spans="2:14" ht="18">
      <c r="B8" s="392"/>
      <c r="C8" s="392">
        <v>1</v>
      </c>
      <c r="D8" s="392">
        <v>2</v>
      </c>
      <c r="E8" s="392">
        <v>3</v>
      </c>
      <c r="F8" s="392">
        <v>4</v>
      </c>
      <c r="G8" s="392">
        <v>5</v>
      </c>
      <c r="H8" s="392">
        <v>6</v>
      </c>
      <c r="I8" s="392">
        <v>7</v>
      </c>
      <c r="J8" s="392">
        <v>8</v>
      </c>
      <c r="K8" s="392">
        <v>9</v>
      </c>
      <c r="L8" s="392">
        <v>10</v>
      </c>
      <c r="M8" s="393">
        <v>11</v>
      </c>
      <c r="N8" s="392">
        <v>12</v>
      </c>
    </row>
    <row r="9" spans="2:14" ht="18">
      <c r="B9" s="394" t="s">
        <v>156</v>
      </c>
      <c r="C9" s="395" t="s">
        <v>1256</v>
      </c>
      <c r="D9" s="9"/>
      <c r="E9" s="9"/>
      <c r="F9" s="9"/>
      <c r="G9" s="9"/>
      <c r="H9" s="9"/>
      <c r="I9" s="9"/>
      <c r="J9" s="9"/>
      <c r="K9" s="9"/>
      <c r="L9" s="396">
        <f>+D9+F9+H9+J9</f>
        <v>0</v>
      </c>
      <c r="M9" s="396">
        <f>+E9+G9+I9+K9</f>
        <v>0</v>
      </c>
      <c r="N9" s="9"/>
    </row>
    <row r="10" spans="2:14" ht="18">
      <c r="B10" s="397" t="s">
        <v>157</v>
      </c>
      <c r="C10" s="398" t="s">
        <v>1469</v>
      </c>
      <c r="D10" s="9"/>
      <c r="E10" s="9"/>
      <c r="F10" s="9"/>
      <c r="G10" s="9"/>
      <c r="H10" s="9"/>
      <c r="I10" s="9"/>
      <c r="J10" s="9"/>
      <c r="K10" s="9"/>
      <c r="L10" s="396">
        <f t="shared" ref="L10:M21" si="0">+D10+F10+H10+J10</f>
        <v>0</v>
      </c>
      <c r="M10" s="396">
        <f t="shared" si="0"/>
        <v>0</v>
      </c>
      <c r="N10" s="9"/>
    </row>
    <row r="11" spans="2:14" ht="18">
      <c r="B11" s="394" t="s">
        <v>158</v>
      </c>
      <c r="C11" s="399" t="s">
        <v>1161</v>
      </c>
      <c r="D11" s="9"/>
      <c r="E11" s="9"/>
      <c r="F11" s="9"/>
      <c r="G11" s="9"/>
      <c r="H11" s="9"/>
      <c r="I11" s="9"/>
      <c r="J11" s="9"/>
      <c r="K11" s="9"/>
      <c r="L11" s="396">
        <f t="shared" si="0"/>
        <v>0</v>
      </c>
      <c r="M11" s="396">
        <f t="shared" si="0"/>
        <v>0</v>
      </c>
      <c r="N11" s="9"/>
    </row>
    <row r="12" spans="2:14" ht="18">
      <c r="B12" s="397" t="s">
        <v>159</v>
      </c>
      <c r="C12" s="400" t="s">
        <v>1732</v>
      </c>
      <c r="D12" s="9"/>
      <c r="E12" s="9"/>
      <c r="F12" s="9"/>
      <c r="G12" s="9"/>
      <c r="H12" s="9"/>
      <c r="I12" s="9"/>
      <c r="J12" s="9"/>
      <c r="K12" s="9"/>
      <c r="L12" s="396">
        <f t="shared" si="0"/>
        <v>0</v>
      </c>
      <c r="M12" s="396">
        <f t="shared" si="0"/>
        <v>0</v>
      </c>
      <c r="N12" s="9"/>
    </row>
    <row r="13" spans="2:14" ht="18">
      <c r="B13" s="394" t="s">
        <v>160</v>
      </c>
      <c r="C13" s="401" t="s">
        <v>1733</v>
      </c>
      <c r="D13" s="9"/>
      <c r="E13" s="9"/>
      <c r="F13" s="9"/>
      <c r="G13" s="9"/>
      <c r="H13" s="9"/>
      <c r="I13" s="9"/>
      <c r="J13" s="9"/>
      <c r="K13" s="9"/>
      <c r="L13" s="396">
        <f t="shared" si="0"/>
        <v>0</v>
      </c>
      <c r="M13" s="396">
        <f t="shared" si="0"/>
        <v>0</v>
      </c>
      <c r="N13" s="9"/>
    </row>
    <row r="14" spans="2:14" ht="18">
      <c r="B14" s="397" t="s">
        <v>161</v>
      </c>
      <c r="C14" s="398" t="s">
        <v>1734</v>
      </c>
      <c r="D14" s="9"/>
      <c r="E14" s="9"/>
      <c r="F14" s="9"/>
      <c r="G14" s="9"/>
      <c r="H14" s="9"/>
      <c r="I14" s="9"/>
      <c r="J14" s="9"/>
      <c r="K14" s="9"/>
      <c r="L14" s="396">
        <f t="shared" si="0"/>
        <v>0</v>
      </c>
      <c r="M14" s="396">
        <f t="shared" si="0"/>
        <v>0</v>
      </c>
      <c r="N14" s="9"/>
    </row>
    <row r="15" spans="2:14" ht="18">
      <c r="B15" s="394" t="s">
        <v>162</v>
      </c>
      <c r="C15" s="399" t="s">
        <v>1257</v>
      </c>
      <c r="D15" s="9"/>
      <c r="E15" s="9"/>
      <c r="F15" s="9"/>
      <c r="G15" s="9"/>
      <c r="H15" s="9"/>
      <c r="I15" s="9"/>
      <c r="J15" s="9"/>
      <c r="K15" s="9"/>
      <c r="L15" s="396">
        <f t="shared" si="0"/>
        <v>0</v>
      </c>
      <c r="M15" s="396">
        <f t="shared" si="0"/>
        <v>0</v>
      </c>
      <c r="N15" s="9"/>
    </row>
    <row r="16" spans="2:14" ht="18">
      <c r="B16" s="397" t="s">
        <v>163</v>
      </c>
      <c r="C16" s="399" t="s">
        <v>1735</v>
      </c>
      <c r="D16" s="9"/>
      <c r="E16" s="9"/>
      <c r="F16" s="9"/>
      <c r="G16" s="9"/>
      <c r="H16" s="9"/>
      <c r="I16" s="9"/>
      <c r="J16" s="9"/>
      <c r="K16" s="9"/>
      <c r="L16" s="396">
        <f t="shared" si="0"/>
        <v>0</v>
      </c>
      <c r="M16" s="396">
        <f t="shared" si="0"/>
        <v>0</v>
      </c>
      <c r="N16" s="9"/>
    </row>
    <row r="17" spans="2:14" ht="18">
      <c r="B17" s="394" t="s">
        <v>164</v>
      </c>
      <c r="C17" s="400" t="s">
        <v>1736</v>
      </c>
      <c r="D17" s="9"/>
      <c r="E17" s="9"/>
      <c r="F17" s="9"/>
      <c r="G17" s="9"/>
      <c r="H17" s="9"/>
      <c r="I17" s="9"/>
      <c r="J17" s="9"/>
      <c r="K17" s="9"/>
      <c r="L17" s="396">
        <f t="shared" si="0"/>
        <v>0</v>
      </c>
      <c r="M17" s="396">
        <f t="shared" si="0"/>
        <v>0</v>
      </c>
      <c r="N17" s="9"/>
    </row>
    <row r="18" spans="2:14" ht="18">
      <c r="B18" s="397" t="s">
        <v>165</v>
      </c>
      <c r="C18" s="400" t="s">
        <v>1737</v>
      </c>
      <c r="D18" s="9"/>
      <c r="E18" s="9"/>
      <c r="F18" s="9"/>
      <c r="G18" s="9"/>
      <c r="H18" s="9"/>
      <c r="I18" s="9"/>
      <c r="J18" s="9"/>
      <c r="K18" s="9"/>
      <c r="L18" s="396">
        <f t="shared" si="0"/>
        <v>0</v>
      </c>
      <c r="M18" s="396">
        <f t="shared" si="0"/>
        <v>0</v>
      </c>
      <c r="N18" s="9"/>
    </row>
    <row r="19" spans="2:14" ht="18">
      <c r="B19" s="394" t="s">
        <v>166</v>
      </c>
      <c r="C19" s="400" t="s">
        <v>1258</v>
      </c>
      <c r="D19" s="9"/>
      <c r="E19" s="9"/>
      <c r="F19" s="9"/>
      <c r="G19" s="9"/>
      <c r="H19" s="9"/>
      <c r="I19" s="9"/>
      <c r="J19" s="9"/>
      <c r="K19" s="9"/>
      <c r="L19" s="396">
        <f t="shared" si="0"/>
        <v>0</v>
      </c>
      <c r="M19" s="396">
        <f t="shared" si="0"/>
        <v>0</v>
      </c>
      <c r="N19" s="9"/>
    </row>
    <row r="20" spans="2:14" ht="18">
      <c r="B20" s="397" t="s">
        <v>167</v>
      </c>
      <c r="C20" s="400" t="s">
        <v>1738</v>
      </c>
      <c r="D20" s="9"/>
      <c r="E20" s="9"/>
      <c r="F20" s="9"/>
      <c r="G20" s="9"/>
      <c r="H20" s="9"/>
      <c r="I20" s="9"/>
      <c r="J20" s="9"/>
      <c r="K20" s="9"/>
      <c r="L20" s="396">
        <f t="shared" si="0"/>
        <v>0</v>
      </c>
      <c r="M20" s="396">
        <f t="shared" si="0"/>
        <v>0</v>
      </c>
      <c r="N20" s="9"/>
    </row>
    <row r="21" spans="2:14" ht="18">
      <c r="B21" s="397" t="s">
        <v>922</v>
      </c>
      <c r="C21" s="400" t="s">
        <v>1768</v>
      </c>
      <c r="D21" s="9"/>
      <c r="E21" s="9"/>
      <c r="F21" s="9"/>
      <c r="G21" s="9"/>
      <c r="H21" s="9"/>
      <c r="I21" s="9"/>
      <c r="J21" s="9"/>
      <c r="K21" s="9"/>
      <c r="L21" s="396">
        <f t="shared" si="0"/>
        <v>0</v>
      </c>
      <c r="M21" s="396">
        <f t="shared" si="0"/>
        <v>0</v>
      </c>
      <c r="N21" s="9"/>
    </row>
    <row r="22" spans="2:14" ht="18">
      <c r="B22" s="394" t="s">
        <v>179</v>
      </c>
      <c r="C22" s="402" t="s">
        <v>1268</v>
      </c>
      <c r="D22" s="396">
        <f t="shared" ref="D22:K22" si="1">SUM(D9:D21)</f>
        <v>0</v>
      </c>
      <c r="E22" s="396">
        <f t="shared" si="1"/>
        <v>0</v>
      </c>
      <c r="F22" s="396">
        <f>SUM(F9:F21)</f>
        <v>0</v>
      </c>
      <c r="G22" s="396">
        <f>SUM(G9:G21)</f>
        <v>0</v>
      </c>
      <c r="H22" s="396">
        <f t="shared" si="1"/>
        <v>0</v>
      </c>
      <c r="I22" s="396">
        <f t="shared" si="1"/>
        <v>0</v>
      </c>
      <c r="J22" s="396">
        <f t="shared" si="1"/>
        <v>0</v>
      </c>
      <c r="K22" s="396">
        <f t="shared" si="1"/>
        <v>0</v>
      </c>
      <c r="L22" s="396">
        <f>+D22+F22+H22+J22</f>
        <v>0</v>
      </c>
      <c r="M22" s="396">
        <f>+E22+G22+I22+K22</f>
        <v>0</v>
      </c>
      <c r="N22" s="396">
        <f>SUM(N9:N21)</f>
        <v>0</v>
      </c>
    </row>
    <row r="23" spans="2:14" ht="18">
      <c r="B23" s="404"/>
      <c r="C23" s="409"/>
      <c r="D23" s="410"/>
      <c r="E23" s="407"/>
      <c r="F23" s="407"/>
      <c r="G23" s="407"/>
      <c r="H23" s="407"/>
      <c r="I23" s="407"/>
      <c r="J23" s="407"/>
      <c r="K23" s="407"/>
      <c r="L23" s="407"/>
    </row>
    <row r="24" spans="2:14" ht="18">
      <c r="B24" s="404"/>
      <c r="C24" s="404"/>
      <c r="D24" s="404"/>
      <c r="E24" s="404"/>
      <c r="F24" s="404"/>
      <c r="G24" s="404"/>
      <c r="H24" s="404"/>
      <c r="I24" s="404"/>
      <c r="J24" s="404"/>
      <c r="K24" s="404"/>
      <c r="L24" s="407"/>
    </row>
    <row r="25" spans="2:14" ht="18">
      <c r="B25" s="404"/>
      <c r="C25" s="404"/>
      <c r="D25" s="404"/>
      <c r="E25" s="404"/>
      <c r="F25" s="404"/>
      <c r="G25" s="404"/>
      <c r="H25" s="404"/>
      <c r="I25" s="404"/>
      <c r="J25" s="404"/>
      <c r="K25" s="404"/>
      <c r="L25" s="404"/>
    </row>
    <row r="26" spans="2:14" ht="18">
      <c r="B26" s="404"/>
      <c r="C26" s="404"/>
      <c r="D26" s="404"/>
      <c r="E26" s="404"/>
      <c r="F26" s="404"/>
      <c r="G26" s="404"/>
      <c r="H26" s="404"/>
      <c r="I26" s="404"/>
      <c r="J26" s="404"/>
      <c r="K26" s="404"/>
      <c r="L26" s="404"/>
    </row>
    <row r="27" spans="2:14" ht="18">
      <c r="B27" s="403"/>
      <c r="C27" s="403"/>
      <c r="D27" s="404"/>
      <c r="E27" s="404"/>
      <c r="F27" s="404"/>
      <c r="G27" s="404"/>
      <c r="H27" s="404"/>
      <c r="I27" s="404"/>
      <c r="J27" s="404"/>
      <c r="K27" s="404"/>
      <c r="L27" s="404"/>
    </row>
    <row r="28" spans="2:14" ht="18">
      <c r="B28" s="411"/>
      <c r="C28" s="411"/>
      <c r="D28" s="411"/>
      <c r="E28" s="411"/>
      <c r="F28" s="411"/>
      <c r="G28" s="411"/>
      <c r="H28" s="411"/>
      <c r="I28" s="411"/>
      <c r="J28" s="411"/>
      <c r="K28" s="411"/>
      <c r="L28" s="411"/>
    </row>
    <row r="29" spans="2:14" ht="18">
      <c r="B29" s="412"/>
      <c r="C29" s="412"/>
      <c r="D29" s="412"/>
      <c r="E29" s="412"/>
      <c r="F29" s="412"/>
      <c r="G29" s="412"/>
      <c r="H29" s="412"/>
      <c r="I29" s="412"/>
      <c r="J29" s="412"/>
      <c r="K29" s="412"/>
      <c r="L29" s="412"/>
    </row>
  </sheetData>
  <sheetProtection password="E9D4" sheet="1"/>
  <customSheetViews>
    <customSheetView guid="{871F8275-217B-436F-8813-871F820F0EE4}" scale="85" showPageBreaks="1" showGridLines="0" printArea="1" view="pageBreakPreview" topLeftCell="C1">
      <selection activeCell="D22" sqref="D22:E22"/>
      <pageMargins left="0.19685039370078741" right="0.19685039370078741" top="0.39370078740157483" bottom="0.39370078740157483" header="0.19685039370078741" footer="0.19685039370078741"/>
      <pageSetup paperSize="9" scale="70" orientation="landscape" r:id="rId1"/>
      <headerFooter alignWithMargins="0">
        <oddFooter>&amp;L&amp;7&amp;D&amp;C&amp;7&amp;P&amp;R&amp;7&amp;F</oddFooter>
      </headerFooter>
    </customSheetView>
    <customSheetView guid="{2EBF18CB-80C9-43ED-A978-2AAEAC40933E}" scale="85" showGridLines="0" showRuler="0">
      <selection activeCell="F11" sqref="F11"/>
      <pageMargins left="0.19685039370078741" right="0.19685039370078741" top="0.39370078740157483" bottom="0.39370078740157483" header="0.19685039370078741" footer="0.19685039370078741"/>
      <pageSetup paperSize="9" scale="70" orientation="landscape" horizontalDpi="300" verticalDpi="300" r:id="rId2"/>
      <headerFooter alignWithMargins="0">
        <oddFooter>&amp;L&amp;7&amp;D&amp;C&amp;7&amp;P&amp;R&amp;7&amp;F</oddFooter>
      </headerFooter>
    </customSheetView>
    <customSheetView guid="{47D3AB49-9599-4A16-951B-F48FEC1C0136}" scale="75" showGridLines="0">
      <selection activeCell="H12" sqref="H12"/>
      <pageMargins left="0.19685039370078741" right="0.19685039370078741" top="0.39370078740157483" bottom="0.39370078740157483" header="0.19685039370078741" footer="0.19685039370078741"/>
      <pageSetup paperSize="9" scale="70" orientation="landscape" horizontalDpi="300" verticalDpi="300" r:id="rId3"/>
      <headerFooter alignWithMargins="0">
        <oddFooter>&amp;L&amp;7&amp;D&amp;C&amp;7&amp;P&amp;R&amp;7&amp;F</oddFooter>
      </headerFooter>
    </customSheetView>
    <customSheetView guid="{ECE607A2-8A26-46E0-8BDC-E9AD788F604C}" scale="85" showPageBreaks="1" showGridLines="0" printArea="1" view="pageBreakPreview" topLeftCell="B1">
      <selection activeCell="F20" sqref="F20"/>
      <pageMargins left="0.19685039370078741" right="0.19685039370078741" top="0.39370078740157483" bottom="0.39370078740157483" header="0.19685039370078741" footer="0.19685039370078741"/>
      <pageSetup paperSize="9" scale="70" orientation="landscape" r:id="rId4"/>
      <headerFooter alignWithMargins="0">
        <oddFooter>&amp;L&amp;7&amp;D&amp;C&amp;7&amp;P&amp;R&amp;7&amp;F</oddFooter>
      </headerFooter>
    </customSheetView>
    <customSheetView guid="{FB1E0752-409C-4E7D-BCFE-7AEBEB8B5F0D}" scale="85" showPageBreaks="1" showGridLines="0" printArea="1" view="pageBreakPreview" topLeftCell="B1">
      <selection activeCell="H14" sqref="H14"/>
      <pageMargins left="0.19685039370078741" right="0.19685039370078741" top="0.39370078740157483" bottom="0.39370078740157483" header="0.19685039370078741" footer="0.19685039370078741"/>
      <pageSetup paperSize="9" scale="70" orientation="landscape" r:id="rId5"/>
      <headerFooter alignWithMargins="0">
        <oddFooter>&amp;L&amp;7&amp;D&amp;C&amp;7&amp;P&amp;R&amp;7&amp;F</oddFooter>
      </headerFooter>
    </customSheetView>
  </customSheetViews>
  <mergeCells count="12">
    <mergeCell ref="L1:N1"/>
    <mergeCell ref="M6:M7"/>
    <mergeCell ref="N6:N7"/>
    <mergeCell ref="B6:B7"/>
    <mergeCell ref="C6:C7"/>
    <mergeCell ref="K3:L3"/>
    <mergeCell ref="L6:L7"/>
    <mergeCell ref="C4:L4"/>
    <mergeCell ref="D6:E6"/>
    <mergeCell ref="F6:G6"/>
    <mergeCell ref="H6:I6"/>
    <mergeCell ref="J6:K6"/>
  </mergeCells>
  <phoneticPr fontId="0" type="noConversion"/>
  <pageMargins left="0.19685039370078741" right="0.19685039370078741" top="0.39370078740157483" bottom="0.39370078740157483" header="0.19685039370078741" footer="0.19685039370078741"/>
  <pageSetup paperSize="9" scale="69" orientation="landscape" r:id="rId6"/>
  <headerFooter alignWithMargins="0">
    <oddFooter>&amp;L&amp;7&amp;D&amp;C&amp;7&amp;P&amp;R&amp;7&amp;F</oddFooter>
  </headerFooter>
</worksheet>
</file>

<file path=xl/worksheets/sheet23.xml><?xml version="1.0" encoding="utf-8"?>
<worksheet xmlns="http://schemas.openxmlformats.org/spreadsheetml/2006/main" xmlns:r="http://schemas.openxmlformats.org/officeDocument/2006/relationships">
  <sheetPr codeName="Лист24"/>
  <dimension ref="A1:K22"/>
  <sheetViews>
    <sheetView workbookViewId="0"/>
  </sheetViews>
  <sheetFormatPr defaultRowHeight="15"/>
  <cols>
    <col min="1" max="1" width="1.7109375" style="216" customWidth="1"/>
    <col min="2" max="2" width="10.5703125" style="216" customWidth="1"/>
    <col min="3" max="3" width="30.28515625" style="216" customWidth="1"/>
    <col min="4" max="11" width="16.7109375" style="216" customWidth="1"/>
    <col min="12" max="16384" width="9.140625" style="216"/>
  </cols>
  <sheetData>
    <row r="1" spans="1:11" s="426" customFormat="1" ht="30.75" customHeight="1">
      <c r="A1" s="424"/>
      <c r="B1" s="425"/>
      <c r="C1" s="425"/>
      <c r="D1" s="425"/>
      <c r="E1" s="425"/>
      <c r="F1" s="425"/>
      <c r="G1" s="425"/>
      <c r="H1" s="425"/>
      <c r="I1" s="1189" t="s">
        <v>1867</v>
      </c>
      <c r="J1" s="1173"/>
      <c r="K1" s="1173"/>
    </row>
    <row r="2" spans="1:11" s="426" customFormat="1" ht="18">
      <c r="A2" s="424"/>
      <c r="B2" s="427"/>
      <c r="C2" s="428" t="str">
        <f>T!E18</f>
        <v>Номгӯи ташкилоти қарзӣ</v>
      </c>
      <c r="D2" s="429"/>
      <c r="E2" s="429"/>
      <c r="F2" s="429"/>
      <c r="G2" s="429"/>
      <c r="H2" s="429"/>
      <c r="I2" s="429"/>
      <c r="J2" s="429"/>
      <c r="K2" s="429"/>
    </row>
    <row r="3" spans="1:11" s="426" customFormat="1" ht="18">
      <c r="A3" s="424"/>
      <c r="C3" s="428" t="str">
        <f>T!B10</f>
        <v>Ҳисобот дар санаи</v>
      </c>
      <c r="D3" s="429"/>
      <c r="E3" s="429"/>
      <c r="F3" s="429"/>
      <c r="G3" s="429"/>
      <c r="H3" s="429"/>
      <c r="I3" s="429"/>
      <c r="J3" s="429"/>
      <c r="K3" s="430"/>
    </row>
    <row r="4" spans="1:11" s="426" customFormat="1" ht="18">
      <c r="A4" s="424"/>
      <c r="C4" s="1210" t="str">
        <f>'List of Scedules'!B22</f>
        <v>ҶАДВАЛИ 11.02. ГУРӮҲБАНДИИ АМОНАТҲО АЗ РӮИ СОҲАҲО</v>
      </c>
      <c r="D4" s="1210"/>
      <c r="E4" s="1210"/>
      <c r="F4" s="1210"/>
      <c r="G4" s="1210"/>
      <c r="H4" s="1210"/>
      <c r="I4" s="1210"/>
      <c r="J4" s="1210"/>
      <c r="K4" s="1210"/>
    </row>
    <row r="5" spans="1:11" s="334" customFormat="1" ht="18">
      <c r="A5" s="431"/>
      <c r="B5" s="432"/>
      <c r="C5" s="432"/>
      <c r="D5" s="432"/>
      <c r="E5" s="432"/>
      <c r="F5" s="432"/>
      <c r="G5" s="432"/>
      <c r="H5" s="432"/>
      <c r="I5" s="432"/>
      <c r="J5" s="432"/>
      <c r="K5" s="432"/>
    </row>
    <row r="6" spans="1:11" ht="15.75" customHeight="1">
      <c r="A6" s="433"/>
      <c r="B6" s="1211"/>
      <c r="C6" s="1211" t="s">
        <v>1725</v>
      </c>
      <c r="D6" s="1212" t="s">
        <v>1739</v>
      </c>
      <c r="E6" s="1212"/>
      <c r="F6" s="1211" t="s">
        <v>198</v>
      </c>
      <c r="G6" s="1211"/>
      <c r="H6" s="1211" t="s">
        <v>1044</v>
      </c>
      <c r="I6" s="1211"/>
      <c r="J6" s="1211" t="s">
        <v>1727</v>
      </c>
      <c r="K6" s="1211" t="s">
        <v>1728</v>
      </c>
    </row>
    <row r="7" spans="1:11" ht="36">
      <c r="A7" s="433"/>
      <c r="B7" s="1211"/>
      <c r="C7" s="1211"/>
      <c r="D7" s="413" t="s">
        <v>1730</v>
      </c>
      <c r="E7" s="413" t="s">
        <v>1731</v>
      </c>
      <c r="F7" s="413" t="s">
        <v>1730</v>
      </c>
      <c r="G7" s="413" t="s">
        <v>1731</v>
      </c>
      <c r="H7" s="413" t="s">
        <v>1730</v>
      </c>
      <c r="I7" s="413" t="s">
        <v>1731</v>
      </c>
      <c r="J7" s="1211"/>
      <c r="K7" s="1211"/>
    </row>
    <row r="8" spans="1:11" ht="18">
      <c r="A8" s="433"/>
      <c r="B8" s="413"/>
      <c r="C8" s="415">
        <v>1</v>
      </c>
      <c r="D8" s="413">
        <v>2</v>
      </c>
      <c r="E8" s="413">
        <v>3</v>
      </c>
      <c r="F8" s="413">
        <v>4</v>
      </c>
      <c r="G8" s="413">
        <v>5</v>
      </c>
      <c r="H8" s="413">
        <v>6</v>
      </c>
      <c r="I8" s="413">
        <v>7</v>
      </c>
      <c r="J8" s="414">
        <v>8</v>
      </c>
      <c r="K8" s="414">
        <v>9</v>
      </c>
    </row>
    <row r="9" spans="1:11" ht="18">
      <c r="A9" s="433"/>
      <c r="B9" s="416" t="s">
        <v>126</v>
      </c>
      <c r="C9" s="417" t="s">
        <v>1256</v>
      </c>
      <c r="D9" s="9"/>
      <c r="E9" s="9"/>
      <c r="F9" s="9"/>
      <c r="G9" s="9"/>
      <c r="H9" s="9"/>
      <c r="I9" s="9"/>
      <c r="J9" s="418">
        <f>+D9+F9+H9</f>
        <v>0</v>
      </c>
      <c r="K9" s="418">
        <f>+E9+G9+I9</f>
        <v>0</v>
      </c>
    </row>
    <row r="10" spans="1:11" ht="18">
      <c r="A10" s="433"/>
      <c r="B10" s="416" t="s">
        <v>127</v>
      </c>
      <c r="C10" s="398" t="s">
        <v>1469</v>
      </c>
      <c r="D10" s="9"/>
      <c r="E10" s="9"/>
      <c r="F10" s="9"/>
      <c r="G10" s="9"/>
      <c r="H10" s="9"/>
      <c r="I10" s="9"/>
      <c r="J10" s="418">
        <f t="shared" ref="J10:J22" si="0">+D10+F10+H10</f>
        <v>0</v>
      </c>
      <c r="K10" s="418">
        <f t="shared" ref="K10:K22" si="1">+E10+G10+I10</f>
        <v>0</v>
      </c>
    </row>
    <row r="11" spans="1:11" ht="18">
      <c r="A11" s="433"/>
      <c r="B11" s="416" t="s">
        <v>128</v>
      </c>
      <c r="C11" s="419" t="s">
        <v>1161</v>
      </c>
      <c r="D11" s="9"/>
      <c r="E11" s="9"/>
      <c r="F11" s="9"/>
      <c r="G11" s="9"/>
      <c r="H11" s="9"/>
      <c r="I11" s="9"/>
      <c r="J11" s="418">
        <f t="shared" si="0"/>
        <v>0</v>
      </c>
      <c r="K11" s="418">
        <f t="shared" si="1"/>
        <v>0</v>
      </c>
    </row>
    <row r="12" spans="1:11" ht="18">
      <c r="A12" s="433"/>
      <c r="B12" s="416" t="s">
        <v>129</v>
      </c>
      <c r="C12" s="420" t="s">
        <v>1732</v>
      </c>
      <c r="D12" s="9"/>
      <c r="E12" s="9"/>
      <c r="F12" s="9"/>
      <c r="G12" s="9"/>
      <c r="H12" s="9"/>
      <c r="I12" s="9"/>
      <c r="J12" s="418">
        <f t="shared" si="0"/>
        <v>0</v>
      </c>
      <c r="K12" s="418">
        <f t="shared" si="1"/>
        <v>0</v>
      </c>
    </row>
    <row r="13" spans="1:11" ht="18">
      <c r="A13" s="433"/>
      <c r="B13" s="416" t="s">
        <v>130</v>
      </c>
      <c r="C13" s="421" t="s">
        <v>1733</v>
      </c>
      <c r="D13" s="9"/>
      <c r="E13" s="9"/>
      <c r="F13" s="9"/>
      <c r="G13" s="9"/>
      <c r="H13" s="9"/>
      <c r="I13" s="9"/>
      <c r="J13" s="418">
        <f t="shared" si="0"/>
        <v>0</v>
      </c>
      <c r="K13" s="418">
        <f t="shared" si="1"/>
        <v>0</v>
      </c>
    </row>
    <row r="14" spans="1:11" ht="18">
      <c r="A14" s="433"/>
      <c r="B14" s="416" t="s">
        <v>131</v>
      </c>
      <c r="C14" s="422" t="s">
        <v>1734</v>
      </c>
      <c r="D14" s="9"/>
      <c r="E14" s="9"/>
      <c r="F14" s="9"/>
      <c r="G14" s="9"/>
      <c r="H14" s="9"/>
      <c r="I14" s="9"/>
      <c r="J14" s="418">
        <f t="shared" si="0"/>
        <v>0</v>
      </c>
      <c r="K14" s="418">
        <f t="shared" si="1"/>
        <v>0</v>
      </c>
    </row>
    <row r="15" spans="1:11" ht="18">
      <c r="A15" s="433"/>
      <c r="B15" s="416" t="s">
        <v>132</v>
      </c>
      <c r="C15" s="419" t="s">
        <v>1257</v>
      </c>
      <c r="D15" s="9"/>
      <c r="E15" s="9"/>
      <c r="F15" s="9"/>
      <c r="G15" s="9"/>
      <c r="H15" s="9"/>
      <c r="I15" s="9"/>
      <c r="J15" s="418">
        <f t="shared" si="0"/>
        <v>0</v>
      </c>
      <c r="K15" s="418">
        <f t="shared" si="1"/>
        <v>0</v>
      </c>
    </row>
    <row r="16" spans="1:11" ht="18">
      <c r="A16" s="433"/>
      <c r="B16" s="416" t="s">
        <v>133</v>
      </c>
      <c r="C16" s="399" t="s">
        <v>1735</v>
      </c>
      <c r="D16" s="9"/>
      <c r="E16" s="9"/>
      <c r="F16" s="9"/>
      <c r="G16" s="9"/>
      <c r="H16" s="9"/>
      <c r="I16" s="9"/>
      <c r="J16" s="418">
        <f t="shared" si="0"/>
        <v>0</v>
      </c>
      <c r="K16" s="418">
        <f t="shared" si="1"/>
        <v>0</v>
      </c>
    </row>
    <row r="17" spans="1:11" ht="18">
      <c r="A17" s="433"/>
      <c r="B17" s="416" t="s">
        <v>134</v>
      </c>
      <c r="C17" s="400" t="s">
        <v>1736</v>
      </c>
      <c r="D17" s="9"/>
      <c r="E17" s="9"/>
      <c r="F17" s="9"/>
      <c r="G17" s="9"/>
      <c r="H17" s="9"/>
      <c r="I17" s="9"/>
      <c r="J17" s="418">
        <f t="shared" si="0"/>
        <v>0</v>
      </c>
      <c r="K17" s="418">
        <f t="shared" si="1"/>
        <v>0</v>
      </c>
    </row>
    <row r="18" spans="1:11" ht="18">
      <c r="A18" s="433"/>
      <c r="B18" s="416" t="s">
        <v>135</v>
      </c>
      <c r="C18" s="420" t="s">
        <v>1737</v>
      </c>
      <c r="D18" s="9"/>
      <c r="E18" s="9"/>
      <c r="F18" s="9"/>
      <c r="G18" s="9"/>
      <c r="H18" s="9"/>
      <c r="I18" s="9"/>
      <c r="J18" s="418">
        <f t="shared" si="0"/>
        <v>0</v>
      </c>
      <c r="K18" s="418">
        <f t="shared" si="1"/>
        <v>0</v>
      </c>
    </row>
    <row r="19" spans="1:11" ht="18">
      <c r="A19" s="433"/>
      <c r="B19" s="416" t="s">
        <v>136</v>
      </c>
      <c r="C19" s="420" t="s">
        <v>1258</v>
      </c>
      <c r="D19" s="9"/>
      <c r="E19" s="9"/>
      <c r="F19" s="9"/>
      <c r="G19" s="9"/>
      <c r="H19" s="9"/>
      <c r="I19" s="9"/>
      <c r="J19" s="418">
        <f t="shared" si="0"/>
        <v>0</v>
      </c>
      <c r="K19" s="418">
        <f t="shared" si="1"/>
        <v>0</v>
      </c>
    </row>
    <row r="20" spans="1:11" ht="18">
      <c r="A20" s="433"/>
      <c r="B20" s="416" t="s">
        <v>137</v>
      </c>
      <c r="C20" s="247" t="s">
        <v>1470</v>
      </c>
      <c r="D20" s="9"/>
      <c r="E20" s="9"/>
      <c r="F20" s="9"/>
      <c r="G20" s="9"/>
      <c r="H20" s="9"/>
      <c r="I20" s="9"/>
      <c r="J20" s="418">
        <f t="shared" si="0"/>
        <v>0</v>
      </c>
      <c r="K20" s="418">
        <f t="shared" si="1"/>
        <v>0</v>
      </c>
    </row>
    <row r="21" spans="1:11" ht="18">
      <c r="A21" s="433"/>
      <c r="B21" s="416" t="s">
        <v>138</v>
      </c>
      <c r="C21" s="423" t="s">
        <v>1768</v>
      </c>
      <c r="D21" s="9"/>
      <c r="E21" s="9"/>
      <c r="F21" s="9"/>
      <c r="G21" s="9"/>
      <c r="H21" s="9"/>
      <c r="I21" s="916"/>
      <c r="J21" s="418">
        <f t="shared" si="0"/>
        <v>0</v>
      </c>
      <c r="K21" s="418">
        <f t="shared" si="1"/>
        <v>0</v>
      </c>
    </row>
    <row r="22" spans="1:11" ht="18">
      <c r="A22" s="433"/>
      <c r="B22" s="416" t="s">
        <v>180</v>
      </c>
      <c r="C22" s="828" t="s">
        <v>1268</v>
      </c>
      <c r="D22" s="418">
        <f t="shared" ref="D22:I22" si="2">SUM(D9:D21)</f>
        <v>0</v>
      </c>
      <c r="E22" s="418">
        <f t="shared" si="2"/>
        <v>0</v>
      </c>
      <c r="F22" s="418">
        <f t="shared" si="2"/>
        <v>0</v>
      </c>
      <c r="G22" s="418">
        <f t="shared" si="2"/>
        <v>0</v>
      </c>
      <c r="H22" s="418">
        <f t="shared" si="2"/>
        <v>0</v>
      </c>
      <c r="I22" s="418">
        <f t="shared" si="2"/>
        <v>0</v>
      </c>
      <c r="J22" s="418">
        <f t="shared" si="0"/>
        <v>0</v>
      </c>
      <c r="K22" s="418">
        <f t="shared" si="1"/>
        <v>0</v>
      </c>
    </row>
  </sheetData>
  <sheetProtection password="E9D4" sheet="1"/>
  <customSheetViews>
    <customSheetView guid="{871F8275-217B-436F-8813-871F820F0EE4}" showPageBreaks="1" showGridLines="0" view="pageBreakPreview">
      <selection activeCell="H22" sqref="H22:I22"/>
      <pageMargins left="0.19685039370078741" right="0.19685039370078741" top="0.39370078740157483" bottom="0.39370078740157483" header="0.19685039370078741" footer="0.19685039370078741"/>
      <pageSetup paperSize="9" scale="83" orientation="landscape" r:id="rId1"/>
      <headerFooter alignWithMargins="0">
        <oddFooter>&amp;L&amp;7&amp;D&amp;C&amp;7&amp;P&amp;R&amp;7&amp;F</oddFooter>
      </headerFooter>
    </customSheetView>
    <customSheetView guid="{2EBF18CB-80C9-43ED-A978-2AAEAC40933E}" scale="75" showGridLines="0" showRuler="0" topLeftCell="B1">
      <selection activeCell="F16" sqref="F16"/>
      <pageMargins left="0.19685039370078741" right="0.19685039370078741" top="0.39370078740157483" bottom="0.39370078740157483" header="0.19685039370078741" footer="0.19685039370078741"/>
      <pageSetup paperSize="9" scale="83" orientation="landscape" horizontalDpi="300" verticalDpi="300" r:id="rId2"/>
      <headerFooter alignWithMargins="0">
        <oddFooter>&amp;L&amp;7&amp;D&amp;C&amp;7&amp;P&amp;R&amp;7&amp;F</oddFooter>
      </headerFooter>
    </customSheetView>
    <customSheetView guid="{47D3AB49-9599-4A16-951B-F48FEC1C0136}" scale="75" showGridLines="0">
      <selection activeCell="H17" sqref="H17"/>
      <pageMargins left="0.19685039370078741" right="0.19685039370078741" top="0.39370078740157483" bottom="0.39370078740157483" header="0.19685039370078741" footer="0.19685039370078741"/>
      <pageSetup paperSize="9" scale="83" orientation="landscape" horizontalDpi="300" verticalDpi="300" r:id="rId3"/>
      <headerFooter alignWithMargins="0">
        <oddFooter>&amp;L&amp;7&amp;D&amp;C&amp;7&amp;P&amp;R&amp;7&amp;F</oddFooter>
      </headerFooter>
    </customSheetView>
    <customSheetView guid="{ECE607A2-8A26-46E0-8BDC-E9AD788F604C}" showPageBreaks="1" showGridLines="0" view="pageBreakPreview">
      <selection activeCell="I20" sqref="I20"/>
      <pageMargins left="0.19685039370078741" right="0.19685039370078741" top="0.39370078740157483" bottom="0.39370078740157483" header="0.19685039370078741" footer="0.19685039370078741"/>
      <pageSetup paperSize="9" scale="83" orientation="landscape" r:id="rId4"/>
      <headerFooter alignWithMargins="0">
        <oddFooter>&amp;L&amp;7&amp;D&amp;C&amp;7&amp;P&amp;R&amp;7&amp;F</oddFooter>
      </headerFooter>
    </customSheetView>
    <customSheetView guid="{FB1E0752-409C-4E7D-BCFE-7AEBEB8B5F0D}" showPageBreaks="1" showGridLines="0" view="pageBreakPreview">
      <selection activeCell="H22" sqref="H22:I22"/>
      <pageMargins left="0.19685039370078741" right="0.19685039370078741" top="0.39370078740157483" bottom="0.39370078740157483" header="0.19685039370078741" footer="0.19685039370078741"/>
      <pageSetup paperSize="9" scale="83" orientation="landscape" r:id="rId5"/>
      <headerFooter alignWithMargins="0">
        <oddFooter>&amp;L&amp;7&amp;D&amp;C&amp;7&amp;P&amp;R&amp;7&amp;F</oddFooter>
      </headerFooter>
    </customSheetView>
  </customSheetViews>
  <mergeCells count="9">
    <mergeCell ref="I1:K1"/>
    <mergeCell ref="C4:K4"/>
    <mergeCell ref="B6:B7"/>
    <mergeCell ref="C6:C7"/>
    <mergeCell ref="D6:E6"/>
    <mergeCell ref="F6:G6"/>
    <mergeCell ref="H6:I6"/>
    <mergeCell ref="J6:J7"/>
    <mergeCell ref="K6:K7"/>
  </mergeCells>
  <phoneticPr fontId="0" type="noConversion"/>
  <pageMargins left="0.19685039370078741" right="0.19685039370078741" top="0.39370078740157483" bottom="0.39370078740157483" header="0.19685039370078741" footer="0.19685039370078741"/>
  <pageSetup paperSize="9" scale="82" orientation="landscape" r:id="rId6"/>
  <headerFooter alignWithMargins="0">
    <oddFooter>&amp;L&amp;7&amp;D&amp;C&amp;7&amp;P&amp;R&amp;7&amp;F</oddFooter>
  </headerFooter>
</worksheet>
</file>

<file path=xl/worksheets/sheet24.xml><?xml version="1.0" encoding="utf-8"?>
<worksheet xmlns="http://schemas.openxmlformats.org/spreadsheetml/2006/main" xmlns:r="http://schemas.openxmlformats.org/officeDocument/2006/relationships">
  <sheetPr codeName="Лист25"/>
  <dimension ref="A1:M30"/>
  <sheetViews>
    <sheetView workbookViewId="0"/>
  </sheetViews>
  <sheetFormatPr defaultRowHeight="18"/>
  <cols>
    <col min="1" max="1" width="2.5703125" style="91" customWidth="1"/>
    <col min="2" max="2" width="10.5703125" style="91" customWidth="1"/>
    <col min="3" max="3" width="48.28515625" style="91" customWidth="1"/>
    <col min="4" max="12" width="15.7109375" style="91" customWidth="1"/>
    <col min="13" max="16384" width="9.140625" style="91"/>
  </cols>
  <sheetData>
    <row r="1" spans="1:13" s="87" customFormat="1" ht="31.5" customHeight="1">
      <c r="A1" s="662"/>
      <c r="B1" s="663"/>
      <c r="C1" s="664"/>
      <c r="D1" s="665"/>
      <c r="F1" s="665"/>
      <c r="G1" s="664"/>
      <c r="H1" s="665"/>
      <c r="J1" s="1189" t="s">
        <v>1868</v>
      </c>
      <c r="K1" s="1173"/>
      <c r="L1" s="1173"/>
      <c r="M1" s="666"/>
    </row>
    <row r="2" spans="1:13" s="87" customFormat="1">
      <c r="A2" s="662"/>
      <c r="B2" s="667"/>
      <c r="C2" s="39" t="str">
        <f>T!E18</f>
        <v>Номгӯи ташкилоти қарзӣ</v>
      </c>
      <c r="D2" s="665"/>
      <c r="E2" s="668"/>
      <c r="F2" s="665"/>
      <c r="G2" s="664"/>
      <c r="H2" s="665"/>
      <c r="I2" s="669"/>
      <c r="J2" s="665"/>
      <c r="K2" s="665"/>
      <c r="L2" s="86"/>
      <c r="M2" s="666"/>
    </row>
    <row r="3" spans="1:13" s="87" customFormat="1">
      <c r="A3" s="662"/>
      <c r="C3" s="670" t="str">
        <f>T!B10</f>
        <v>Ҳисобот дар санаи</v>
      </c>
      <c r="D3" s="665"/>
      <c r="E3" s="665"/>
      <c r="F3" s="665"/>
      <c r="G3" s="664"/>
      <c r="H3" s="665"/>
      <c r="I3" s="1213"/>
      <c r="J3" s="1213"/>
      <c r="K3" s="1213"/>
      <c r="L3" s="1213"/>
      <c r="M3" s="666"/>
    </row>
    <row r="4" spans="1:13" s="87" customFormat="1">
      <c r="A4" s="662"/>
      <c r="B4" s="671"/>
      <c r="C4" s="670" t="str">
        <f>'List of Scedules'!B23</f>
        <v>ҶАДВАЛИ 12.01. ТАҲЛИЛИ МЕЪЁРИ ФОИЗӢ БАЙНИ ДОРОИҲО ВА УҲДАДОРИҲО</v>
      </c>
      <c r="D4" s="672"/>
      <c r="E4" s="673"/>
      <c r="F4" s="673"/>
      <c r="G4" s="668"/>
      <c r="H4" s="665"/>
      <c r="I4" s="669"/>
      <c r="J4" s="665"/>
      <c r="K4" s="665"/>
      <c r="L4" s="665"/>
      <c r="M4" s="666"/>
    </row>
    <row r="5" spans="1:13" ht="19.5">
      <c r="A5" s="674"/>
      <c r="B5" s="675"/>
      <c r="C5" s="676"/>
      <c r="D5" s="677"/>
      <c r="E5" s="678"/>
      <c r="F5" s="679"/>
      <c r="G5" s="679"/>
      <c r="H5" s="679"/>
      <c r="I5" s="679"/>
      <c r="J5" s="679"/>
      <c r="K5" s="679"/>
      <c r="L5" s="680"/>
      <c r="M5" s="681"/>
    </row>
    <row r="6" spans="1:13">
      <c r="A6" s="674"/>
      <c r="B6" s="1211"/>
      <c r="C6" s="1214" t="s">
        <v>1659</v>
      </c>
      <c r="D6" s="1214" t="s">
        <v>1104</v>
      </c>
      <c r="E6" s="1214"/>
      <c r="F6" s="1214"/>
      <c r="G6" s="1214"/>
      <c r="H6" s="1214"/>
      <c r="I6" s="1214"/>
      <c r="J6" s="1214"/>
      <c r="K6" s="1214"/>
      <c r="L6" s="1214" t="s">
        <v>1268</v>
      </c>
      <c r="M6" s="682"/>
    </row>
    <row r="7" spans="1:13" ht="36">
      <c r="A7" s="674"/>
      <c r="B7" s="1211"/>
      <c r="C7" s="1214"/>
      <c r="D7" s="434" t="s">
        <v>1304</v>
      </c>
      <c r="E7" s="434" t="s">
        <v>1305</v>
      </c>
      <c r="F7" s="434" t="s">
        <v>1306</v>
      </c>
      <c r="G7" s="434" t="s">
        <v>1307</v>
      </c>
      <c r="H7" s="434" t="s">
        <v>1308</v>
      </c>
      <c r="I7" s="434" t="s">
        <v>1770</v>
      </c>
      <c r="J7" s="434" t="s">
        <v>1771</v>
      </c>
      <c r="K7" s="434" t="s">
        <v>1743</v>
      </c>
      <c r="L7" s="1215"/>
      <c r="M7" s="682"/>
    </row>
    <row r="8" spans="1:13">
      <c r="A8" s="674"/>
      <c r="B8" s="413"/>
      <c r="C8" s="435">
        <v>1</v>
      </c>
      <c r="D8" s="435">
        <v>2</v>
      </c>
      <c r="E8" s="435">
        <v>3</v>
      </c>
      <c r="F8" s="435">
        <v>4</v>
      </c>
      <c r="G8" s="435">
        <v>5</v>
      </c>
      <c r="H8" s="435">
        <v>6</v>
      </c>
      <c r="I8" s="435">
        <v>7</v>
      </c>
      <c r="J8" s="435">
        <v>8</v>
      </c>
      <c r="K8" s="435">
        <v>9</v>
      </c>
      <c r="L8" s="435">
        <v>10</v>
      </c>
      <c r="M8" s="682"/>
    </row>
    <row r="9" spans="1:13">
      <c r="A9" s="674"/>
      <c r="B9" s="416"/>
      <c r="C9" s="435" t="s">
        <v>1309</v>
      </c>
      <c r="D9" s="436"/>
      <c r="E9" s="436"/>
      <c r="F9" s="436"/>
      <c r="G9" s="436"/>
      <c r="H9" s="436"/>
      <c r="I9" s="436"/>
      <c r="J9" s="436"/>
      <c r="K9" s="436"/>
      <c r="L9" s="437"/>
      <c r="M9" s="682"/>
    </row>
    <row r="10" spans="1:13">
      <c r="A10" s="674"/>
      <c r="B10" s="438" t="s">
        <v>870</v>
      </c>
      <c r="C10" s="439" t="s">
        <v>1769</v>
      </c>
      <c r="D10" s="9"/>
      <c r="E10" s="9"/>
      <c r="F10" s="9"/>
      <c r="G10" s="9"/>
      <c r="H10" s="9"/>
      <c r="I10" s="9"/>
      <c r="J10" s="9"/>
      <c r="K10" s="9"/>
      <c r="L10" s="440">
        <f>SUM(D10:K10)</f>
        <v>0</v>
      </c>
      <c r="M10" s="682"/>
    </row>
    <row r="11" spans="1:13" ht="19.5">
      <c r="A11" s="674"/>
      <c r="B11" s="438" t="s">
        <v>871</v>
      </c>
      <c r="C11" s="441" t="s">
        <v>1269</v>
      </c>
      <c r="D11" s="9"/>
      <c r="E11" s="9"/>
      <c r="F11" s="9"/>
      <c r="G11" s="9"/>
      <c r="H11" s="9"/>
      <c r="I11" s="9"/>
      <c r="J11" s="9"/>
      <c r="K11" s="9"/>
      <c r="L11" s="440">
        <f>SUM(D11:K11)</f>
        <v>0</v>
      </c>
      <c r="M11" s="682"/>
    </row>
    <row r="12" spans="1:13" ht="36">
      <c r="A12" s="674"/>
      <c r="B12" s="438" t="s">
        <v>872</v>
      </c>
      <c r="C12" s="439" t="s">
        <v>1273</v>
      </c>
      <c r="D12" s="9"/>
      <c r="E12" s="9"/>
      <c r="F12" s="9"/>
      <c r="G12" s="9"/>
      <c r="H12" s="9"/>
      <c r="I12" s="9"/>
      <c r="J12" s="9"/>
      <c r="K12" s="9"/>
      <c r="L12" s="440">
        <f t="shared" ref="L12:L29" si="0">SUM(D12:K12)</f>
        <v>0</v>
      </c>
      <c r="M12" s="682"/>
    </row>
    <row r="13" spans="1:13" ht="19.5">
      <c r="A13" s="674"/>
      <c r="B13" s="438" t="s">
        <v>873</v>
      </c>
      <c r="C13" s="441" t="s">
        <v>1269</v>
      </c>
      <c r="D13" s="9"/>
      <c r="E13" s="9"/>
      <c r="F13" s="9"/>
      <c r="G13" s="9"/>
      <c r="H13" s="9"/>
      <c r="I13" s="9"/>
      <c r="J13" s="9"/>
      <c r="K13" s="9"/>
      <c r="L13" s="440">
        <f>SUM(D13:K13)</f>
        <v>0</v>
      </c>
      <c r="M13" s="682"/>
    </row>
    <row r="14" spans="1:13" ht="36">
      <c r="A14" s="674"/>
      <c r="B14" s="438" t="s">
        <v>489</v>
      </c>
      <c r="C14" s="439" t="s">
        <v>1310</v>
      </c>
      <c r="D14" s="9"/>
      <c r="E14" s="1104"/>
      <c r="F14" s="1104"/>
      <c r="G14" s="1104"/>
      <c r="H14" s="1104"/>
      <c r="I14" s="1104"/>
      <c r="J14" s="9"/>
      <c r="K14" s="9"/>
      <c r="L14" s="440">
        <f>SUM(D14:K14)</f>
        <v>0</v>
      </c>
      <c r="M14" s="682"/>
    </row>
    <row r="15" spans="1:13" ht="19.5">
      <c r="A15" s="674"/>
      <c r="B15" s="438" t="s">
        <v>490</v>
      </c>
      <c r="C15" s="441" t="s">
        <v>1269</v>
      </c>
      <c r="D15" s="9"/>
      <c r="E15" s="1104"/>
      <c r="F15" s="1104"/>
      <c r="G15" s="1104"/>
      <c r="H15" s="1104"/>
      <c r="I15" s="1104"/>
      <c r="J15" s="9"/>
      <c r="K15" s="9"/>
      <c r="L15" s="440">
        <f>SUM(D15:K15)</f>
        <v>0</v>
      </c>
      <c r="M15" s="682"/>
    </row>
    <row r="16" spans="1:13" ht="34.5" customHeight="1">
      <c r="A16" s="674"/>
      <c r="B16" s="438" t="s">
        <v>874</v>
      </c>
      <c r="C16" s="439" t="s">
        <v>1294</v>
      </c>
      <c r="D16" s="9"/>
      <c r="E16" s="9"/>
      <c r="F16" s="9"/>
      <c r="G16" s="9"/>
      <c r="H16" s="9"/>
      <c r="I16" s="9"/>
      <c r="J16" s="9"/>
      <c r="K16" s="9"/>
      <c r="L16" s="440">
        <f t="shared" si="0"/>
        <v>0</v>
      </c>
      <c r="M16" s="682"/>
    </row>
    <row r="17" spans="1:13" ht="19.5">
      <c r="A17" s="674"/>
      <c r="B17" s="438" t="s">
        <v>875</v>
      </c>
      <c r="C17" s="441" t="s">
        <v>1269</v>
      </c>
      <c r="D17" s="9"/>
      <c r="E17" s="9"/>
      <c r="F17" s="9"/>
      <c r="G17" s="9"/>
      <c r="H17" s="9"/>
      <c r="I17" s="9"/>
      <c r="J17" s="9"/>
      <c r="K17" s="9"/>
      <c r="L17" s="440">
        <f t="shared" si="0"/>
        <v>0</v>
      </c>
      <c r="M17" s="682"/>
    </row>
    <row r="18" spans="1:13">
      <c r="A18" s="674"/>
      <c r="B18" s="438" t="s">
        <v>876</v>
      </c>
      <c r="C18" s="439" t="s">
        <v>226</v>
      </c>
      <c r="D18" s="9"/>
      <c r="E18" s="9"/>
      <c r="F18" s="9"/>
      <c r="G18" s="9"/>
      <c r="H18" s="9"/>
      <c r="I18" s="9"/>
      <c r="J18" s="9"/>
      <c r="K18" s="9"/>
      <c r="L18" s="440">
        <f t="shared" si="0"/>
        <v>0</v>
      </c>
      <c r="M18" s="682"/>
    </row>
    <row r="19" spans="1:13" ht="19.5">
      <c r="A19" s="674"/>
      <c r="B19" s="438" t="s">
        <v>878</v>
      </c>
      <c r="C19" s="441" t="s">
        <v>1269</v>
      </c>
      <c r="D19" s="9"/>
      <c r="E19" s="9"/>
      <c r="F19" s="9"/>
      <c r="G19" s="9"/>
      <c r="H19" s="9"/>
      <c r="I19" s="9"/>
      <c r="J19" s="9"/>
      <c r="K19" s="9"/>
      <c r="L19" s="440">
        <f t="shared" si="0"/>
        <v>0</v>
      </c>
      <c r="M19" s="682"/>
    </row>
    <row r="20" spans="1:13">
      <c r="A20" s="674"/>
      <c r="B20" s="438" t="s">
        <v>879</v>
      </c>
      <c r="C20" s="439" t="s">
        <v>1311</v>
      </c>
      <c r="D20" s="9"/>
      <c r="E20" s="1104"/>
      <c r="F20" s="1104"/>
      <c r="G20" s="1104"/>
      <c r="H20" s="1104"/>
      <c r="I20" s="1104"/>
      <c r="J20" s="1104"/>
      <c r="K20" s="1105"/>
      <c r="L20" s="440">
        <f t="shared" si="0"/>
        <v>0</v>
      </c>
      <c r="M20" s="682"/>
    </row>
    <row r="21" spans="1:13" ht="19.5">
      <c r="A21" s="674"/>
      <c r="B21" s="438" t="s">
        <v>880</v>
      </c>
      <c r="C21" s="441" t="s">
        <v>1269</v>
      </c>
      <c r="D21" s="9"/>
      <c r="E21" s="1104"/>
      <c r="F21" s="1104"/>
      <c r="G21" s="1104"/>
      <c r="H21" s="1104"/>
      <c r="I21" s="1104"/>
      <c r="J21" s="1104"/>
      <c r="K21" s="1105"/>
      <c r="L21" s="440">
        <f t="shared" si="0"/>
        <v>0</v>
      </c>
      <c r="M21" s="682"/>
    </row>
    <row r="22" spans="1:13">
      <c r="A22" s="674"/>
      <c r="B22" s="438" t="s">
        <v>1312</v>
      </c>
      <c r="C22" s="439" t="s">
        <v>1542</v>
      </c>
      <c r="D22" s="9"/>
      <c r="E22" s="9"/>
      <c r="F22" s="9"/>
      <c r="G22" s="9"/>
      <c r="H22" s="9"/>
      <c r="I22" s="9"/>
      <c r="J22" s="9"/>
      <c r="K22" s="9"/>
      <c r="L22" s="440">
        <f t="shared" si="0"/>
        <v>0</v>
      </c>
      <c r="M22" s="682"/>
    </row>
    <row r="23" spans="1:13" ht="19.5">
      <c r="A23" s="674"/>
      <c r="B23" s="438" t="s">
        <v>1313</v>
      </c>
      <c r="C23" s="441" t="s">
        <v>1269</v>
      </c>
      <c r="D23" s="9"/>
      <c r="E23" s="9"/>
      <c r="F23" s="9"/>
      <c r="G23" s="9"/>
      <c r="H23" s="9"/>
      <c r="I23" s="9"/>
      <c r="J23" s="9"/>
      <c r="K23" s="9"/>
      <c r="L23" s="440">
        <f t="shared" si="0"/>
        <v>0</v>
      </c>
      <c r="M23" s="682"/>
    </row>
    <row r="24" spans="1:13">
      <c r="A24" s="674"/>
      <c r="B24" s="438" t="s">
        <v>881</v>
      </c>
      <c r="C24" s="439" t="s">
        <v>1548</v>
      </c>
      <c r="D24" s="9"/>
      <c r="E24" s="9"/>
      <c r="F24" s="9"/>
      <c r="G24" s="9"/>
      <c r="H24" s="9"/>
      <c r="I24" s="9"/>
      <c r="J24" s="9"/>
      <c r="K24" s="9"/>
      <c r="L24" s="440">
        <f t="shared" si="0"/>
        <v>0</v>
      </c>
      <c r="M24" s="682"/>
    </row>
    <row r="25" spans="1:13" ht="19.5">
      <c r="A25" s="674"/>
      <c r="B25" s="438" t="s">
        <v>882</v>
      </c>
      <c r="C25" s="441" t="s">
        <v>1269</v>
      </c>
      <c r="D25" s="9"/>
      <c r="E25" s="9"/>
      <c r="F25" s="9"/>
      <c r="G25" s="9"/>
      <c r="H25" s="9"/>
      <c r="I25" s="9"/>
      <c r="J25" s="9"/>
      <c r="K25" s="9"/>
      <c r="L25" s="440">
        <f t="shared" si="0"/>
        <v>0</v>
      </c>
      <c r="M25" s="681"/>
    </row>
    <row r="26" spans="1:13">
      <c r="A26" s="674"/>
      <c r="B26" s="438" t="s">
        <v>883</v>
      </c>
      <c r="C26" s="439" t="s">
        <v>1768</v>
      </c>
      <c r="D26" s="9"/>
      <c r="E26" s="9"/>
      <c r="F26" s="9"/>
      <c r="G26" s="9"/>
      <c r="H26" s="9"/>
      <c r="I26" s="9"/>
      <c r="J26" s="9"/>
      <c r="K26" s="9"/>
      <c r="L26" s="440">
        <f t="shared" si="0"/>
        <v>0</v>
      </c>
      <c r="M26" s="681"/>
    </row>
    <row r="27" spans="1:13" ht="19.5">
      <c r="A27" s="674"/>
      <c r="B27" s="438" t="s">
        <v>884</v>
      </c>
      <c r="C27" s="441" t="s">
        <v>1269</v>
      </c>
      <c r="D27" s="9"/>
      <c r="E27" s="9"/>
      <c r="F27" s="9"/>
      <c r="G27" s="9"/>
      <c r="H27" s="9"/>
      <c r="I27" s="9"/>
      <c r="J27" s="9"/>
      <c r="K27" s="9"/>
      <c r="L27" s="440">
        <f>SUM(D27:K27)</f>
        <v>0</v>
      </c>
      <c r="M27" s="681"/>
    </row>
    <row r="28" spans="1:13">
      <c r="A28" s="674"/>
      <c r="B28" s="438" t="s">
        <v>997</v>
      </c>
      <c r="C28" s="442" t="s">
        <v>1268</v>
      </c>
      <c r="D28" s="440">
        <f>+D10+D12+D14+D16+D18+D20+D22+D24+D26</f>
        <v>0</v>
      </c>
      <c r="E28" s="440">
        <f t="shared" ref="E28:K29" si="1">+E10+E12+E14+E16+E18+E20+E22+E24+E26</f>
        <v>0</v>
      </c>
      <c r="F28" s="440">
        <f t="shared" si="1"/>
        <v>0</v>
      </c>
      <c r="G28" s="440">
        <f t="shared" si="1"/>
        <v>0</v>
      </c>
      <c r="H28" s="440">
        <f t="shared" si="1"/>
        <v>0</v>
      </c>
      <c r="I28" s="440">
        <f t="shared" si="1"/>
        <v>0</v>
      </c>
      <c r="J28" s="440">
        <f t="shared" si="1"/>
        <v>0</v>
      </c>
      <c r="K28" s="440">
        <f t="shared" si="1"/>
        <v>0</v>
      </c>
      <c r="L28" s="440">
        <f t="shared" si="0"/>
        <v>0</v>
      </c>
      <c r="M28" s="683"/>
    </row>
    <row r="29" spans="1:13">
      <c r="B29" s="438" t="s">
        <v>998</v>
      </c>
      <c r="C29" s="443" t="s">
        <v>1269</v>
      </c>
      <c r="D29" s="440">
        <f>+D11+D13+D15+D17+D19+D21+D23+D25+D27</f>
        <v>0</v>
      </c>
      <c r="E29" s="440">
        <f t="shared" si="1"/>
        <v>0</v>
      </c>
      <c r="F29" s="440">
        <f t="shared" si="1"/>
        <v>0</v>
      </c>
      <c r="G29" s="440">
        <f t="shared" si="1"/>
        <v>0</v>
      </c>
      <c r="H29" s="440">
        <f t="shared" si="1"/>
        <v>0</v>
      </c>
      <c r="I29" s="440">
        <f t="shared" si="1"/>
        <v>0</v>
      </c>
      <c r="J29" s="440">
        <f t="shared" si="1"/>
        <v>0</v>
      </c>
      <c r="K29" s="440">
        <f t="shared" si="1"/>
        <v>0</v>
      </c>
      <c r="L29" s="440">
        <f t="shared" si="0"/>
        <v>0</v>
      </c>
      <c r="M29" s="682"/>
    </row>
    <row r="30" spans="1:13">
      <c r="C30" s="684"/>
      <c r="D30" s="683"/>
      <c r="E30" s="685"/>
      <c r="F30" s="685"/>
      <c r="G30" s="683"/>
      <c r="H30" s="683"/>
      <c r="I30" s="683"/>
      <c r="J30" s="683"/>
      <c r="K30" s="683"/>
      <c r="L30" s="683"/>
      <c r="M30" s="682"/>
    </row>
  </sheetData>
  <sheetProtection password="E9D4" sheet="1"/>
  <customSheetViews>
    <customSheetView guid="{871F8275-217B-436F-8813-871F820F0EE4}" scale="90" showPageBreaks="1" showGridLines="0" view="pageBreakPreview">
      <selection activeCell="L21" sqref="L21"/>
      <pageMargins left="0.31496062992125984" right="0.31496062992125984" top="0.39370078740157483" bottom="0.39370078740157483" header="0.19685039370078741" footer="0.19685039370078741"/>
      <pageSetup paperSize="9" scale="71" orientation="landscape" r:id="rId1"/>
      <headerFooter alignWithMargins="0">
        <oddFooter>&amp;L&amp;7&amp;D&amp;C&amp;7&amp;P&amp;R&amp;7&amp;F</oddFooter>
      </headerFooter>
    </customSheetView>
    <customSheetView guid="{2EBF18CB-80C9-43ED-A978-2AAEAC40933E}" scale="75" showGridLines="0" showRuler="0" topLeftCell="A7">
      <selection activeCell="G24" sqref="G24"/>
      <pageMargins left="0.31496062992125984" right="0.31496062992125984" top="0.39370078740157483" bottom="0.39370078740157483" header="0.19685039370078741" footer="0.19685039370078741"/>
      <pageSetup paperSize="9" scale="71" orientation="landscape" horizontalDpi="300" verticalDpi="300" r:id="rId2"/>
      <headerFooter alignWithMargins="0">
        <oddFooter>&amp;L&amp;7&amp;D&amp;C&amp;7&amp;P&amp;R&amp;7&amp;F</oddFooter>
      </headerFooter>
    </customSheetView>
    <customSheetView guid="{47D3AB49-9599-4A16-951B-F48FEC1C0136}" scale="75" showGridLines="0">
      <selection activeCell="F15" sqref="F15"/>
      <pageMargins left="0.31496062992125984" right="0.31496062992125984" top="0.39370078740157483" bottom="0.39370078740157483" header="0.19685039370078741" footer="0.19685039370078741"/>
      <pageSetup paperSize="9" scale="71" orientation="landscape" horizontalDpi="300" verticalDpi="300" r:id="rId3"/>
      <headerFooter alignWithMargins="0">
        <oddFooter>&amp;L&amp;7&amp;D&amp;C&amp;7&amp;P&amp;R&amp;7&amp;F</oddFooter>
      </headerFooter>
    </customSheetView>
    <customSheetView guid="{ECE607A2-8A26-46E0-8BDC-E9AD788F604C}" scale="90" showPageBreaks="1" showGridLines="0" view="pageBreakPreview">
      <selection activeCell="E19" sqref="E19"/>
      <pageMargins left="0.31496062992125984" right="0.31496062992125984" top="0.39370078740157483" bottom="0.39370078740157483" header="0.19685039370078741" footer="0.19685039370078741"/>
      <pageSetup paperSize="9" scale="71" orientation="landscape" r:id="rId4"/>
      <headerFooter alignWithMargins="0">
        <oddFooter>&amp;L&amp;7&amp;D&amp;C&amp;7&amp;P&amp;R&amp;7&amp;F</oddFooter>
      </headerFooter>
    </customSheetView>
    <customSheetView guid="{FB1E0752-409C-4E7D-BCFE-7AEBEB8B5F0D}" scale="90" showPageBreaks="1" showGridLines="0" view="pageBreakPreview">
      <selection activeCell="G12" sqref="G12"/>
      <pageMargins left="0.31496062992125984" right="0.31496062992125984" top="0.39370078740157483" bottom="0.39370078740157483" header="0.19685039370078741" footer="0.19685039370078741"/>
      <pageSetup paperSize="9" scale="71" orientation="landscape" r:id="rId5"/>
      <headerFooter alignWithMargins="0">
        <oddFooter>&amp;L&amp;7&amp;D&amp;C&amp;7&amp;P&amp;R&amp;7&amp;F</oddFooter>
      </headerFooter>
    </customSheetView>
  </customSheetViews>
  <mergeCells count="6">
    <mergeCell ref="J1:L1"/>
    <mergeCell ref="B6:B7"/>
    <mergeCell ref="I3:L3"/>
    <mergeCell ref="C6:C7"/>
    <mergeCell ref="L6:L7"/>
    <mergeCell ref="D6:K6"/>
  </mergeCells>
  <phoneticPr fontId="0" type="noConversion"/>
  <pageMargins left="0.31496062992125984" right="0.31496062992125984" top="0.39370078740157483" bottom="0.39370078740157483" header="0.19685039370078741" footer="0.19685039370078741"/>
  <pageSetup paperSize="9" scale="70" orientation="landscape" r:id="rId6"/>
  <headerFooter alignWithMargins="0">
    <oddFooter>&amp;L&amp;7&amp;D&amp;C&amp;7&amp;P&amp;R&amp;7&amp;F</oddFooter>
  </headerFooter>
</worksheet>
</file>

<file path=xl/worksheets/sheet25.xml><?xml version="1.0" encoding="utf-8"?>
<worksheet xmlns="http://schemas.openxmlformats.org/spreadsheetml/2006/main" xmlns:r="http://schemas.openxmlformats.org/officeDocument/2006/relationships">
  <sheetPr codeName="Лист26"/>
  <dimension ref="A1:K31"/>
  <sheetViews>
    <sheetView workbookViewId="0"/>
  </sheetViews>
  <sheetFormatPr defaultRowHeight="15"/>
  <cols>
    <col min="1" max="1" width="2.42578125" style="216" customWidth="1"/>
    <col min="2" max="2" width="10.85546875" style="216" customWidth="1"/>
    <col min="3" max="3" width="50.7109375" style="216" customWidth="1"/>
    <col min="4" max="11" width="15.7109375" style="216" customWidth="1"/>
    <col min="12" max="16384" width="9.140625" style="216"/>
  </cols>
  <sheetData>
    <row r="1" spans="1:11" s="334" customFormat="1" ht="31.5" customHeight="1">
      <c r="A1" s="686"/>
      <c r="B1" s="687"/>
      <c r="C1" s="688"/>
      <c r="D1" s="689"/>
      <c r="E1" s="690"/>
      <c r="F1" s="689"/>
      <c r="G1" s="688"/>
      <c r="H1" s="689"/>
      <c r="I1" s="1189" t="s">
        <v>1868</v>
      </c>
      <c r="J1" s="1173"/>
      <c r="K1" s="1173"/>
    </row>
    <row r="2" spans="1:11" s="334" customFormat="1" ht="18">
      <c r="A2" s="686"/>
      <c r="B2" s="687"/>
      <c r="C2" s="39" t="str">
        <f>T!E18</f>
        <v>Номгӯи ташкилоти қарзӣ</v>
      </c>
      <c r="D2" s="689"/>
      <c r="E2" s="690"/>
      <c r="F2" s="689"/>
      <c r="G2" s="688"/>
      <c r="H2" s="689"/>
      <c r="I2" s="691"/>
      <c r="J2" s="688"/>
      <c r="K2" s="86"/>
    </row>
    <row r="3" spans="1:11" s="334" customFormat="1" ht="18">
      <c r="A3" s="686"/>
      <c r="B3" s="687"/>
      <c r="C3" s="692" t="str">
        <f>T!B10</f>
        <v>Ҳисобот дар санаи</v>
      </c>
      <c r="D3" s="689"/>
      <c r="E3" s="690"/>
      <c r="F3" s="689"/>
      <c r="G3" s="688"/>
      <c r="H3" s="689"/>
      <c r="I3" s="691"/>
      <c r="J3" s="688"/>
      <c r="K3" s="86"/>
    </row>
    <row r="4" spans="1:11" s="334" customFormat="1" ht="18">
      <c r="A4" s="686"/>
      <c r="B4" s="687"/>
      <c r="C4" s="693" t="str">
        <f>'List of Scedules'!B24</f>
        <v>ҶАДВАЛИ 12.02. ТАҲЛИЛИ МЕЪЁРИ ФОИЗӢ БАЙНИ ДОРОИҲО ВА УҲДАДОРИҲО</v>
      </c>
      <c r="D4" s="694"/>
      <c r="E4" s="695"/>
      <c r="F4" s="695"/>
      <c r="G4" s="690"/>
      <c r="H4" s="689"/>
      <c r="I4" s="691"/>
      <c r="J4" s="689"/>
      <c r="K4" s="689"/>
    </row>
    <row r="5" spans="1:11" ht="18">
      <c r="A5" s="696"/>
      <c r="B5" s="687"/>
      <c r="C5" s="1216"/>
      <c r="D5" s="1216"/>
      <c r="E5" s="1216"/>
      <c r="F5" s="1216"/>
      <c r="G5" s="1216"/>
      <c r="H5" s="1216"/>
      <c r="I5" s="1216"/>
      <c r="J5" s="1216"/>
      <c r="K5" s="1216"/>
    </row>
    <row r="6" spans="1:11" ht="18">
      <c r="A6" s="696"/>
      <c r="B6" s="1217"/>
      <c r="C6" s="1219" t="s">
        <v>1659</v>
      </c>
      <c r="D6" s="1219" t="s">
        <v>1105</v>
      </c>
      <c r="E6" s="1219"/>
      <c r="F6" s="1219"/>
      <c r="G6" s="1219"/>
      <c r="H6" s="1219"/>
      <c r="I6" s="1219"/>
      <c r="J6" s="1219"/>
      <c r="K6" s="1219" t="s">
        <v>1268</v>
      </c>
    </row>
    <row r="7" spans="1:11" ht="36">
      <c r="A7" s="696"/>
      <c r="B7" s="1218"/>
      <c r="C7" s="1219"/>
      <c r="D7" s="434" t="s">
        <v>1304</v>
      </c>
      <c r="E7" s="434" t="s">
        <v>1305</v>
      </c>
      <c r="F7" s="434" t="s">
        <v>1306</v>
      </c>
      <c r="G7" s="434" t="s">
        <v>1307</v>
      </c>
      <c r="H7" s="434" t="s">
        <v>1308</v>
      </c>
      <c r="I7" s="444" t="s">
        <v>1770</v>
      </c>
      <c r="J7" s="444" t="s">
        <v>1771</v>
      </c>
      <c r="K7" s="1220"/>
    </row>
    <row r="8" spans="1:11" ht="18">
      <c r="A8" s="696"/>
      <c r="B8" s="445"/>
      <c r="C8" s="446">
        <v>1</v>
      </c>
      <c r="D8" s="446">
        <v>2</v>
      </c>
      <c r="E8" s="446">
        <v>3</v>
      </c>
      <c r="F8" s="446">
        <v>4</v>
      </c>
      <c r="G8" s="446">
        <v>5</v>
      </c>
      <c r="H8" s="446">
        <v>6</v>
      </c>
      <c r="I8" s="446">
        <v>7</v>
      </c>
      <c r="J8" s="446">
        <v>8</v>
      </c>
      <c r="K8" s="446">
        <v>9</v>
      </c>
    </row>
    <row r="9" spans="1:11" ht="18">
      <c r="A9" s="696"/>
      <c r="B9" s="445"/>
      <c r="C9" s="446" t="s">
        <v>1106</v>
      </c>
      <c r="D9" s="447"/>
      <c r="E9" s="447"/>
      <c r="F9" s="447"/>
      <c r="G9" s="447"/>
      <c r="H9" s="447"/>
      <c r="I9" s="447"/>
      <c r="J9" s="447"/>
      <c r="K9" s="447"/>
    </row>
    <row r="10" spans="1:11" ht="18">
      <c r="A10" s="696"/>
      <c r="B10" s="438" t="s">
        <v>168</v>
      </c>
      <c r="C10" s="448" t="s">
        <v>1772</v>
      </c>
      <c r="D10" s="9"/>
      <c r="E10" s="9"/>
      <c r="F10" s="9"/>
      <c r="G10" s="9"/>
      <c r="H10" s="9"/>
      <c r="I10" s="9"/>
      <c r="J10" s="9"/>
      <c r="K10" s="449">
        <f>SUM(D10:J10)</f>
        <v>0</v>
      </c>
    </row>
    <row r="11" spans="1:11" ht="19.5">
      <c r="A11" s="696"/>
      <c r="B11" s="438" t="s">
        <v>169</v>
      </c>
      <c r="C11" s="441" t="s">
        <v>1269</v>
      </c>
      <c r="D11" s="9"/>
      <c r="E11" s="9"/>
      <c r="F11" s="9"/>
      <c r="G11" s="9"/>
      <c r="H11" s="9"/>
      <c r="I11" s="9"/>
      <c r="J11" s="9"/>
      <c r="K11" s="449">
        <f t="shared" ref="K11:K27" si="0">SUM(D11:J11)</f>
        <v>0</v>
      </c>
    </row>
    <row r="12" spans="1:11" ht="36">
      <c r="A12" s="696"/>
      <c r="B12" s="438" t="s">
        <v>170</v>
      </c>
      <c r="C12" s="448" t="s">
        <v>1314</v>
      </c>
      <c r="D12" s="9"/>
      <c r="E12" s="9"/>
      <c r="F12" s="9"/>
      <c r="G12" s="9"/>
      <c r="H12" s="9"/>
      <c r="I12" s="9"/>
      <c r="J12" s="9"/>
      <c r="K12" s="449">
        <f t="shared" si="0"/>
        <v>0</v>
      </c>
    </row>
    <row r="13" spans="1:11" ht="19.5">
      <c r="A13" s="696"/>
      <c r="B13" s="438" t="s">
        <v>934</v>
      </c>
      <c r="C13" s="441" t="s">
        <v>1269</v>
      </c>
      <c r="D13" s="9"/>
      <c r="E13" s="9"/>
      <c r="F13" s="9"/>
      <c r="G13" s="9"/>
      <c r="H13" s="9"/>
      <c r="I13" s="9"/>
      <c r="J13" s="9"/>
      <c r="K13" s="449">
        <f t="shared" si="0"/>
        <v>0</v>
      </c>
    </row>
    <row r="14" spans="1:11" ht="36">
      <c r="A14" s="696"/>
      <c r="B14" s="438" t="s">
        <v>491</v>
      </c>
      <c r="C14" s="448" t="s">
        <v>1315</v>
      </c>
      <c r="D14" s="916"/>
      <c r="E14" s="916"/>
      <c r="F14" s="916"/>
      <c r="G14" s="916"/>
      <c r="H14" s="916"/>
      <c r="I14" s="916"/>
      <c r="J14" s="916"/>
      <c r="K14" s="449">
        <f t="shared" si="0"/>
        <v>0</v>
      </c>
    </row>
    <row r="15" spans="1:11" ht="19.5">
      <c r="A15" s="696"/>
      <c r="B15" s="438" t="s">
        <v>492</v>
      </c>
      <c r="C15" s="441" t="s">
        <v>1269</v>
      </c>
      <c r="D15" s="916"/>
      <c r="E15" s="916"/>
      <c r="F15" s="916"/>
      <c r="G15" s="916"/>
      <c r="H15" s="916"/>
      <c r="I15" s="916"/>
      <c r="J15" s="916"/>
      <c r="K15" s="449">
        <f t="shared" si="0"/>
        <v>0</v>
      </c>
    </row>
    <row r="16" spans="1:11" ht="36">
      <c r="A16" s="696"/>
      <c r="B16" s="438" t="s">
        <v>171</v>
      </c>
      <c r="C16" s="448" t="s">
        <v>1316</v>
      </c>
      <c r="D16" s="9"/>
      <c r="E16" s="9"/>
      <c r="F16" s="9"/>
      <c r="G16" s="9"/>
      <c r="H16" s="9"/>
      <c r="I16" s="9"/>
      <c r="J16" s="9"/>
      <c r="K16" s="449">
        <f t="shared" si="0"/>
        <v>0</v>
      </c>
    </row>
    <row r="17" spans="1:11" ht="19.5">
      <c r="A17" s="696"/>
      <c r="B17" s="438" t="s">
        <v>172</v>
      </c>
      <c r="C17" s="441" t="s">
        <v>1269</v>
      </c>
      <c r="D17" s="9"/>
      <c r="E17" s="9"/>
      <c r="F17" s="9"/>
      <c r="G17" s="9"/>
      <c r="H17" s="9"/>
      <c r="I17" s="9"/>
      <c r="J17" s="9"/>
      <c r="K17" s="449">
        <f t="shared" si="0"/>
        <v>0</v>
      </c>
    </row>
    <row r="18" spans="1:11" ht="18">
      <c r="A18" s="696"/>
      <c r="B18" s="438" t="s">
        <v>173</v>
      </c>
      <c r="C18" s="448" t="s">
        <v>1317</v>
      </c>
      <c r="D18" s="9"/>
      <c r="E18" s="9"/>
      <c r="F18" s="9"/>
      <c r="G18" s="9"/>
      <c r="H18" s="9"/>
      <c r="I18" s="9"/>
      <c r="J18" s="9"/>
      <c r="K18" s="449">
        <f t="shared" si="0"/>
        <v>0</v>
      </c>
    </row>
    <row r="19" spans="1:11" ht="19.5">
      <c r="A19" s="696"/>
      <c r="B19" s="438" t="s">
        <v>174</v>
      </c>
      <c r="C19" s="441" t="s">
        <v>1269</v>
      </c>
      <c r="D19" s="9"/>
      <c r="E19" s="9"/>
      <c r="F19" s="9"/>
      <c r="G19" s="9"/>
      <c r="H19" s="9"/>
      <c r="I19" s="9"/>
      <c r="J19" s="9"/>
      <c r="K19" s="449">
        <f t="shared" si="0"/>
        <v>0</v>
      </c>
    </row>
    <row r="20" spans="1:11" ht="18">
      <c r="A20" s="696"/>
      <c r="B20" s="438" t="s">
        <v>175</v>
      </c>
      <c r="C20" s="448" t="s">
        <v>196</v>
      </c>
      <c r="D20" s="9"/>
      <c r="E20" s="9"/>
      <c r="F20" s="9"/>
      <c r="G20" s="9"/>
      <c r="H20" s="9"/>
      <c r="I20" s="9"/>
      <c r="J20" s="9"/>
      <c r="K20" s="449">
        <f t="shared" si="0"/>
        <v>0</v>
      </c>
    </row>
    <row r="21" spans="1:11" ht="19.5">
      <c r="A21" s="696"/>
      <c r="B21" s="438" t="s">
        <v>176</v>
      </c>
      <c r="C21" s="441" t="s">
        <v>1269</v>
      </c>
      <c r="D21" s="9"/>
      <c r="E21" s="9"/>
      <c r="F21" s="9"/>
      <c r="G21" s="9"/>
      <c r="H21" s="9"/>
      <c r="I21" s="9"/>
      <c r="J21" s="9"/>
      <c r="K21" s="449">
        <f t="shared" si="0"/>
        <v>0</v>
      </c>
    </row>
    <row r="22" spans="1:11" ht="18">
      <c r="A22" s="696"/>
      <c r="B22" s="438" t="s">
        <v>935</v>
      </c>
      <c r="C22" s="448" t="s">
        <v>1548</v>
      </c>
      <c r="D22" s="9"/>
      <c r="E22" s="9"/>
      <c r="F22" s="9"/>
      <c r="G22" s="9"/>
      <c r="H22" s="9"/>
      <c r="I22" s="9"/>
      <c r="J22" s="9"/>
      <c r="K22" s="449">
        <f t="shared" si="0"/>
        <v>0</v>
      </c>
    </row>
    <row r="23" spans="1:11" ht="19.5">
      <c r="A23" s="696"/>
      <c r="B23" s="438" t="s">
        <v>936</v>
      </c>
      <c r="C23" s="441" t="s">
        <v>1269</v>
      </c>
      <c r="D23" s="9"/>
      <c r="E23" s="9"/>
      <c r="F23" s="9"/>
      <c r="G23" s="9"/>
      <c r="H23" s="9"/>
      <c r="I23" s="9"/>
      <c r="J23" s="9"/>
      <c r="K23" s="449">
        <f t="shared" si="0"/>
        <v>0</v>
      </c>
    </row>
    <row r="24" spans="1:11" ht="18">
      <c r="A24" s="696"/>
      <c r="B24" s="438" t="s">
        <v>937</v>
      </c>
      <c r="C24" s="448" t="s">
        <v>1768</v>
      </c>
      <c r="D24" s="9"/>
      <c r="E24" s="9"/>
      <c r="F24" s="9"/>
      <c r="G24" s="9"/>
      <c r="H24" s="9"/>
      <c r="I24" s="9"/>
      <c r="J24" s="9"/>
      <c r="K24" s="449">
        <f t="shared" si="0"/>
        <v>0</v>
      </c>
    </row>
    <row r="25" spans="1:11" ht="19.5">
      <c r="A25" s="696"/>
      <c r="B25" s="438" t="s">
        <v>125</v>
      </c>
      <c r="C25" s="441" t="s">
        <v>1269</v>
      </c>
      <c r="D25" s="9"/>
      <c r="E25" s="9"/>
      <c r="F25" s="9"/>
      <c r="G25" s="9"/>
      <c r="H25" s="9"/>
      <c r="I25" s="9"/>
      <c r="J25" s="9"/>
      <c r="K25" s="449">
        <f t="shared" si="0"/>
        <v>0</v>
      </c>
    </row>
    <row r="26" spans="1:11" ht="18">
      <c r="A26" s="696"/>
      <c r="B26" s="438" t="s">
        <v>999</v>
      </c>
      <c r="C26" s="450" t="s">
        <v>1268</v>
      </c>
      <c r="D26" s="449">
        <f>+D10+D12+D14+D16+D18+D20+D22+D24</f>
        <v>0</v>
      </c>
      <c r="E26" s="449">
        <f t="shared" ref="E26:J27" si="1">+E10+E12+E14+E16+E18+E20+E22+E24</f>
        <v>0</v>
      </c>
      <c r="F26" s="449">
        <f t="shared" si="1"/>
        <v>0</v>
      </c>
      <c r="G26" s="449">
        <f t="shared" si="1"/>
        <v>0</v>
      </c>
      <c r="H26" s="449">
        <f t="shared" si="1"/>
        <v>0</v>
      </c>
      <c r="I26" s="449">
        <f t="shared" si="1"/>
        <v>0</v>
      </c>
      <c r="J26" s="449">
        <f t="shared" si="1"/>
        <v>0</v>
      </c>
      <c r="K26" s="449">
        <f t="shared" si="0"/>
        <v>0</v>
      </c>
    </row>
    <row r="27" spans="1:11" ht="18">
      <c r="A27" s="696"/>
      <c r="B27" s="438" t="s">
        <v>1000</v>
      </c>
      <c r="C27" s="451" t="s">
        <v>1269</v>
      </c>
      <c r="D27" s="449">
        <f>+D11+D13+D15+D17+D19+D21+D23+D25</f>
        <v>0</v>
      </c>
      <c r="E27" s="449">
        <f t="shared" si="1"/>
        <v>0</v>
      </c>
      <c r="F27" s="449">
        <f t="shared" si="1"/>
        <v>0</v>
      </c>
      <c r="G27" s="449">
        <f t="shared" si="1"/>
        <v>0</v>
      </c>
      <c r="H27" s="449">
        <f t="shared" si="1"/>
        <v>0</v>
      </c>
      <c r="I27" s="449">
        <f t="shared" si="1"/>
        <v>0</v>
      </c>
      <c r="J27" s="449">
        <f t="shared" si="1"/>
        <v>0</v>
      </c>
      <c r="K27" s="449">
        <f t="shared" si="0"/>
        <v>0</v>
      </c>
    </row>
    <row r="28" spans="1:11">
      <c r="A28" s="696"/>
      <c r="B28" s="696"/>
      <c r="C28" s="696"/>
      <c r="D28" s="696"/>
      <c r="E28" s="696"/>
      <c r="F28" s="696"/>
      <c r="G28" s="696"/>
      <c r="H28" s="696"/>
      <c r="I28" s="696"/>
      <c r="J28" s="696"/>
      <c r="K28" s="696"/>
    </row>
    <row r="29" spans="1:11">
      <c r="A29" s="696"/>
      <c r="B29" s="696"/>
      <c r="C29" s="696"/>
      <c r="D29" s="696"/>
      <c r="E29" s="696"/>
      <c r="F29" s="696"/>
      <c r="G29" s="696"/>
      <c r="H29" s="696"/>
      <c r="I29" s="696"/>
      <c r="J29" s="696"/>
      <c r="K29" s="696"/>
    </row>
    <row r="30" spans="1:11">
      <c r="A30" s="696"/>
      <c r="B30" s="696"/>
      <c r="C30" s="696"/>
      <c r="D30" s="696"/>
      <c r="E30" s="696"/>
      <c r="F30" s="696"/>
      <c r="G30" s="696"/>
      <c r="H30" s="696"/>
      <c r="I30" s="696"/>
      <c r="J30" s="696"/>
      <c r="K30" s="696"/>
    </row>
    <row r="31" spans="1:11">
      <c r="A31" s="696"/>
      <c r="B31" s="696"/>
      <c r="C31" s="696"/>
      <c r="D31" s="696"/>
      <c r="E31" s="696"/>
      <c r="F31" s="696"/>
      <c r="G31" s="696"/>
      <c r="H31" s="696"/>
      <c r="I31" s="696"/>
      <c r="J31" s="696"/>
      <c r="K31" s="696"/>
    </row>
  </sheetData>
  <sheetProtection password="E9D4" sheet="1"/>
  <customSheetViews>
    <customSheetView guid="{871F8275-217B-436F-8813-871F820F0EE4}" scale="95" showPageBreaks="1" showGridLines="0" view="pageBreakPreview" topLeftCell="C1">
      <selection activeCell="E23" sqref="E23"/>
      <pageMargins left="0.31496062992125984" right="0.31496062992125984" top="0.39370078740157483" bottom="0.39370078740157483" header="0.19685039370078741" footer="0.19685039370078741"/>
      <pageSetup paperSize="9" scale="76" orientation="landscape" r:id="rId1"/>
      <headerFooter alignWithMargins="0">
        <oddFooter>&amp;L&amp;7&amp;D&amp;C&amp;7&amp;P&amp;R&amp;7&amp;F</oddFooter>
      </headerFooter>
    </customSheetView>
    <customSheetView guid="{2EBF18CB-80C9-43ED-A978-2AAEAC40933E}" scale="75" showGridLines="0" showRuler="0">
      <selection activeCell="D22" sqref="D22"/>
      <pageMargins left="0.31496062992125984" right="0.31496062992125984" top="0.39370078740157483" bottom="0.39370078740157483" header="0.19685039370078741" footer="0.19685039370078741"/>
      <pageSetup paperSize="9" scale="76" orientation="landscape" horizontalDpi="300" verticalDpi="300" r:id="rId2"/>
      <headerFooter alignWithMargins="0">
        <oddFooter>&amp;L&amp;7&amp;D&amp;C&amp;7&amp;P&amp;R&amp;7&amp;F</oddFooter>
      </headerFooter>
    </customSheetView>
    <customSheetView guid="{47D3AB49-9599-4A16-951B-F48FEC1C0136}" scale="75" showGridLines="0">
      <selection activeCell="F15" sqref="F15"/>
      <pageMargins left="0.31496062992125984" right="0.31496062992125984" top="0.39370078740157483" bottom="0.39370078740157483" header="0.19685039370078741" footer="0.19685039370078741"/>
      <pageSetup paperSize="9" scale="76" orientation="landscape" horizontalDpi="300" verticalDpi="300" r:id="rId3"/>
      <headerFooter alignWithMargins="0">
        <oddFooter>&amp;L&amp;7&amp;D&amp;C&amp;7&amp;P&amp;R&amp;7&amp;F</oddFooter>
      </headerFooter>
    </customSheetView>
    <customSheetView guid="{ECE607A2-8A26-46E0-8BDC-E9AD788F604C}" scale="95" showPageBreaks="1" showGridLines="0" view="pageBreakPreview" topLeftCell="C5">
      <selection activeCell="I16" sqref="I16"/>
      <pageMargins left="0.31496062992125984" right="0.31496062992125984" top="0.39370078740157483" bottom="0.39370078740157483" header="0.19685039370078741" footer="0.19685039370078741"/>
      <pageSetup paperSize="9" scale="76" orientation="landscape" r:id="rId4"/>
      <headerFooter alignWithMargins="0">
        <oddFooter>&amp;L&amp;7&amp;D&amp;C&amp;7&amp;P&amp;R&amp;7&amp;F</oddFooter>
      </headerFooter>
    </customSheetView>
    <customSheetView guid="{FB1E0752-409C-4E7D-BCFE-7AEBEB8B5F0D}" scale="95" showPageBreaks="1" showGridLines="0" view="pageBreakPreview" topLeftCell="C1">
      <selection activeCell="J13" sqref="J13"/>
      <pageMargins left="0.31496062992125984" right="0.31496062992125984" top="0.39370078740157483" bottom="0.39370078740157483" header="0.19685039370078741" footer="0.19685039370078741"/>
      <pageSetup paperSize="9" scale="76" orientation="landscape" r:id="rId5"/>
      <headerFooter alignWithMargins="0">
        <oddFooter>&amp;L&amp;7&amp;D&amp;C&amp;7&amp;P&amp;R&amp;7&amp;F</oddFooter>
      </headerFooter>
    </customSheetView>
  </customSheetViews>
  <mergeCells count="6">
    <mergeCell ref="I1:K1"/>
    <mergeCell ref="C5:K5"/>
    <mergeCell ref="B6:B7"/>
    <mergeCell ref="C6:C7"/>
    <mergeCell ref="D6:J6"/>
    <mergeCell ref="K6:K7"/>
  </mergeCells>
  <phoneticPr fontId="0" type="noConversion"/>
  <pageMargins left="0.31496062992125984" right="0.31496062992125984" top="0.39370078740157483" bottom="0.39370078740157483" header="0.19685039370078741" footer="0.19685039370078741"/>
  <pageSetup paperSize="9" scale="74" orientation="landscape" r:id="rId6"/>
  <headerFooter alignWithMargins="0">
    <oddFooter>&amp;L&amp;7&amp;D&amp;C&amp;7&amp;P&amp;R&amp;7&amp;F</oddFooter>
  </headerFooter>
</worksheet>
</file>

<file path=xl/worksheets/sheet26.xml><?xml version="1.0" encoding="utf-8"?>
<worksheet xmlns="http://schemas.openxmlformats.org/spreadsheetml/2006/main" xmlns:r="http://schemas.openxmlformats.org/officeDocument/2006/relationships">
  <sheetPr codeName="Лист27"/>
  <dimension ref="B1:L29"/>
  <sheetViews>
    <sheetView workbookViewId="0"/>
  </sheetViews>
  <sheetFormatPr defaultRowHeight="15"/>
  <cols>
    <col min="1" max="1" width="2.28515625" style="216" customWidth="1"/>
    <col min="2" max="2" width="10.140625" style="216" bestFit="1" customWidth="1"/>
    <col min="3" max="3" width="47.5703125" style="216" customWidth="1"/>
    <col min="4" max="12" width="15.7109375" style="216" customWidth="1"/>
    <col min="13" max="16384" width="9.140625" style="216"/>
  </cols>
  <sheetData>
    <row r="1" spans="2:12" s="334" customFormat="1" ht="31.5" customHeight="1">
      <c r="B1" s="697"/>
      <c r="C1" s="698"/>
      <c r="D1" s="699"/>
      <c r="E1" s="700"/>
      <c r="F1" s="699"/>
      <c r="G1" s="698"/>
      <c r="H1" s="699"/>
      <c r="J1" s="1189" t="s">
        <v>1869</v>
      </c>
      <c r="K1" s="1173"/>
      <c r="L1" s="1173"/>
    </row>
    <row r="2" spans="2:12" s="334" customFormat="1" ht="18">
      <c r="B2" s="697"/>
      <c r="C2" s="39" t="str">
        <f>T!E18</f>
        <v>Номгӯи ташкилоти қарзӣ</v>
      </c>
      <c r="D2" s="699"/>
      <c r="E2" s="700"/>
      <c r="F2" s="699"/>
      <c r="G2" s="698"/>
      <c r="H2" s="699"/>
      <c r="I2" s="701"/>
      <c r="J2" s="699"/>
      <c r="K2" s="699"/>
      <c r="L2" s="86"/>
    </row>
    <row r="3" spans="2:12" s="334" customFormat="1" ht="18">
      <c r="B3" s="697"/>
      <c r="C3" s="702" t="str">
        <f>T!B10</f>
        <v>Ҳисобот дар санаи</v>
      </c>
      <c r="D3" s="699"/>
      <c r="E3" s="699"/>
      <c r="F3" s="699"/>
      <c r="G3" s="698"/>
      <c r="H3" s="699"/>
      <c r="I3" s="1222"/>
      <c r="J3" s="1222"/>
      <c r="K3" s="1222"/>
      <c r="L3" s="1222"/>
    </row>
    <row r="4" spans="2:12" s="334" customFormat="1" ht="18">
      <c r="B4" s="697"/>
      <c r="C4" s="702" t="str">
        <f>'List of Scedules'!B25</f>
        <v>ҶАДВАЛИ 12.03. БАҚИЯИ МУҲЛАТИ ПАРДОХТ</v>
      </c>
      <c r="D4" s="703"/>
      <c r="E4" s="704"/>
      <c r="F4" s="704"/>
      <c r="G4" s="700"/>
      <c r="H4" s="699"/>
      <c r="I4" s="701"/>
      <c r="J4" s="699"/>
      <c r="K4" s="699"/>
      <c r="L4" s="699"/>
    </row>
    <row r="5" spans="2:12" s="334" customFormat="1" ht="19.5">
      <c r="B5" s="705"/>
      <c r="C5" s="706"/>
      <c r="D5" s="707"/>
      <c r="E5" s="708"/>
      <c r="F5" s="709"/>
      <c r="G5" s="709"/>
      <c r="H5" s="709"/>
      <c r="I5" s="709"/>
      <c r="J5" s="709"/>
      <c r="K5" s="709"/>
      <c r="L5" s="710"/>
    </row>
    <row r="6" spans="2:12" ht="18">
      <c r="B6" s="1221"/>
      <c r="C6" s="1214" t="s">
        <v>1659</v>
      </c>
      <c r="D6" s="1214" t="s">
        <v>1109</v>
      </c>
      <c r="E6" s="1214"/>
      <c r="F6" s="1214"/>
      <c r="G6" s="1214"/>
      <c r="H6" s="1214"/>
      <c r="I6" s="1214"/>
      <c r="J6" s="1214"/>
      <c r="K6" s="1214"/>
      <c r="L6" s="1223" t="s">
        <v>1268</v>
      </c>
    </row>
    <row r="7" spans="2:12" ht="36">
      <c r="B7" s="1221"/>
      <c r="C7" s="1214"/>
      <c r="D7" s="434" t="s">
        <v>1304</v>
      </c>
      <c r="E7" s="434" t="s">
        <v>1305</v>
      </c>
      <c r="F7" s="434" t="s">
        <v>1306</v>
      </c>
      <c r="G7" s="434" t="s">
        <v>1307</v>
      </c>
      <c r="H7" s="434" t="s">
        <v>1308</v>
      </c>
      <c r="I7" s="434" t="s">
        <v>1770</v>
      </c>
      <c r="J7" s="434" t="s">
        <v>1771</v>
      </c>
      <c r="K7" s="434" t="s">
        <v>1743</v>
      </c>
      <c r="L7" s="1224"/>
    </row>
    <row r="8" spans="2:12" ht="18">
      <c r="B8" s="452"/>
      <c r="C8" s="435">
        <v>1</v>
      </c>
      <c r="D8" s="453">
        <v>2</v>
      </c>
      <c r="E8" s="453">
        <v>3</v>
      </c>
      <c r="F8" s="453">
        <v>4</v>
      </c>
      <c r="G8" s="453">
        <v>5</v>
      </c>
      <c r="H8" s="453">
        <v>6</v>
      </c>
      <c r="I8" s="453">
        <v>7</v>
      </c>
      <c r="J8" s="453">
        <v>8</v>
      </c>
      <c r="K8" s="453">
        <v>9</v>
      </c>
      <c r="L8" s="453">
        <v>10</v>
      </c>
    </row>
    <row r="9" spans="2:12" ht="18">
      <c r="B9" s="416"/>
      <c r="C9" s="435" t="s">
        <v>1309</v>
      </c>
      <c r="D9" s="436"/>
      <c r="E9" s="436"/>
      <c r="F9" s="436"/>
      <c r="G9" s="436"/>
      <c r="H9" s="436"/>
      <c r="I9" s="436"/>
      <c r="J9" s="436"/>
      <c r="K9" s="436"/>
      <c r="L9" s="437"/>
    </row>
    <row r="10" spans="2:12" ht="18">
      <c r="B10" s="438" t="s">
        <v>139</v>
      </c>
      <c r="C10" s="439" t="s">
        <v>1769</v>
      </c>
      <c r="D10" s="9"/>
      <c r="E10" s="9"/>
      <c r="F10" s="9"/>
      <c r="G10" s="9"/>
      <c r="H10" s="9"/>
      <c r="I10" s="9"/>
      <c r="J10" s="9"/>
      <c r="K10" s="9"/>
      <c r="L10" s="440">
        <f>SUM(D10:K10)</f>
        <v>0</v>
      </c>
    </row>
    <row r="11" spans="2:12" ht="19.5">
      <c r="B11" s="438" t="s">
        <v>140</v>
      </c>
      <c r="C11" s="441" t="s">
        <v>1269</v>
      </c>
      <c r="D11" s="9"/>
      <c r="E11" s="9"/>
      <c r="F11" s="9"/>
      <c r="G11" s="9"/>
      <c r="H11" s="9"/>
      <c r="I11" s="9"/>
      <c r="J11" s="9"/>
      <c r="K11" s="9"/>
      <c r="L11" s="440">
        <f>SUM(D11:K11)</f>
        <v>0</v>
      </c>
    </row>
    <row r="12" spans="2:12" ht="36">
      <c r="B12" s="438" t="s">
        <v>141</v>
      </c>
      <c r="C12" s="439" t="s">
        <v>1273</v>
      </c>
      <c r="D12" s="9"/>
      <c r="E12" s="9"/>
      <c r="F12" s="9"/>
      <c r="G12" s="9"/>
      <c r="H12" s="9"/>
      <c r="I12" s="9"/>
      <c r="J12" s="9"/>
      <c r="K12" s="9"/>
      <c r="L12" s="440">
        <f t="shared" ref="L12:L29" si="0">SUM(D12:K12)</f>
        <v>0</v>
      </c>
    </row>
    <row r="13" spans="2:12" ht="19.5">
      <c r="B13" s="438" t="s">
        <v>142</v>
      </c>
      <c r="C13" s="441" t="s">
        <v>1269</v>
      </c>
      <c r="D13" s="9"/>
      <c r="E13" s="9"/>
      <c r="F13" s="9"/>
      <c r="G13" s="9"/>
      <c r="H13" s="9"/>
      <c r="I13" s="9"/>
      <c r="J13" s="9"/>
      <c r="K13" s="9"/>
      <c r="L13" s="440">
        <f>SUM(D13:K13)</f>
        <v>0</v>
      </c>
    </row>
    <row r="14" spans="2:12" ht="33" customHeight="1">
      <c r="B14" s="438" t="s">
        <v>493</v>
      </c>
      <c r="C14" s="439" t="s">
        <v>1310</v>
      </c>
      <c r="D14" s="9"/>
      <c r="E14" s="9"/>
      <c r="F14" s="9"/>
      <c r="G14" s="9"/>
      <c r="H14" s="9"/>
      <c r="I14" s="9"/>
      <c r="J14" s="9"/>
      <c r="K14" s="9"/>
      <c r="L14" s="440">
        <f>SUM(D14:K14)</f>
        <v>0</v>
      </c>
    </row>
    <row r="15" spans="2:12" ht="19.5">
      <c r="B15" s="438" t="s">
        <v>494</v>
      </c>
      <c r="C15" s="441" t="s">
        <v>1269</v>
      </c>
      <c r="D15" s="9"/>
      <c r="E15" s="9"/>
      <c r="F15" s="9"/>
      <c r="G15" s="9"/>
      <c r="H15" s="9"/>
      <c r="I15" s="9"/>
      <c r="J15" s="9"/>
      <c r="K15" s="9"/>
      <c r="L15" s="440">
        <f>SUM(D15:K15)</f>
        <v>0</v>
      </c>
    </row>
    <row r="16" spans="2:12" ht="36">
      <c r="B16" s="438" t="s">
        <v>143</v>
      </c>
      <c r="C16" s="439" t="s">
        <v>1294</v>
      </c>
      <c r="D16" s="9"/>
      <c r="E16" s="9"/>
      <c r="F16" s="9"/>
      <c r="G16" s="9"/>
      <c r="H16" s="9"/>
      <c r="I16" s="9"/>
      <c r="J16" s="9"/>
      <c r="K16" s="9"/>
      <c r="L16" s="440">
        <f t="shared" si="0"/>
        <v>0</v>
      </c>
    </row>
    <row r="17" spans="2:12" ht="19.5">
      <c r="B17" s="438" t="s">
        <v>144</v>
      </c>
      <c r="C17" s="441" t="s">
        <v>1269</v>
      </c>
      <c r="D17" s="9"/>
      <c r="E17" s="9"/>
      <c r="F17" s="9"/>
      <c r="G17" s="9"/>
      <c r="H17" s="9"/>
      <c r="I17" s="9"/>
      <c r="J17" s="9"/>
      <c r="K17" s="9"/>
      <c r="L17" s="440">
        <f t="shared" si="0"/>
        <v>0</v>
      </c>
    </row>
    <row r="18" spans="2:12" ht="18">
      <c r="B18" s="438" t="s">
        <v>145</v>
      </c>
      <c r="C18" s="439" t="s">
        <v>226</v>
      </c>
      <c r="D18" s="9"/>
      <c r="E18" s="9"/>
      <c r="F18" s="9"/>
      <c r="G18" s="9"/>
      <c r="H18" s="9"/>
      <c r="I18" s="9"/>
      <c r="J18" s="9"/>
      <c r="K18" s="9"/>
      <c r="L18" s="440">
        <f t="shared" si="0"/>
        <v>0</v>
      </c>
    </row>
    <row r="19" spans="2:12" ht="19.5">
      <c r="B19" s="438" t="s">
        <v>146</v>
      </c>
      <c r="C19" s="441" t="s">
        <v>1269</v>
      </c>
      <c r="D19" s="9"/>
      <c r="E19" s="9"/>
      <c r="F19" s="9"/>
      <c r="G19" s="9"/>
      <c r="H19" s="9"/>
      <c r="I19" s="9"/>
      <c r="J19" s="9"/>
      <c r="K19" s="9"/>
      <c r="L19" s="440">
        <f t="shared" si="0"/>
        <v>0</v>
      </c>
    </row>
    <row r="20" spans="2:12" ht="18">
      <c r="B20" s="438" t="s">
        <v>147</v>
      </c>
      <c r="C20" s="439" t="s">
        <v>1311</v>
      </c>
      <c r="D20" s="9"/>
      <c r="E20" s="9"/>
      <c r="F20" s="9"/>
      <c r="G20" s="9"/>
      <c r="H20" s="9"/>
      <c r="I20" s="9"/>
      <c r="J20" s="9"/>
      <c r="K20" s="9"/>
      <c r="L20" s="440">
        <f t="shared" si="0"/>
        <v>0</v>
      </c>
    </row>
    <row r="21" spans="2:12" ht="19.5">
      <c r="B21" s="438" t="s">
        <v>148</v>
      </c>
      <c r="C21" s="441" t="s">
        <v>1269</v>
      </c>
      <c r="D21" s="9"/>
      <c r="E21" s="9"/>
      <c r="F21" s="9"/>
      <c r="G21" s="9"/>
      <c r="H21" s="9"/>
      <c r="I21" s="9"/>
      <c r="J21" s="9"/>
      <c r="K21" s="9"/>
      <c r="L21" s="440">
        <f t="shared" si="0"/>
        <v>0</v>
      </c>
    </row>
    <row r="22" spans="2:12" ht="18">
      <c r="B22" s="438" t="s">
        <v>1318</v>
      </c>
      <c r="C22" s="439" t="s">
        <v>1542</v>
      </c>
      <c r="D22" s="9"/>
      <c r="E22" s="9"/>
      <c r="F22" s="9"/>
      <c r="G22" s="9"/>
      <c r="H22" s="9"/>
      <c r="I22" s="9"/>
      <c r="J22" s="9"/>
      <c r="K22" s="9"/>
      <c r="L22" s="440">
        <f t="shared" si="0"/>
        <v>0</v>
      </c>
    </row>
    <row r="23" spans="2:12" ht="19.5">
      <c r="B23" s="438" t="s">
        <v>1319</v>
      </c>
      <c r="C23" s="441" t="s">
        <v>1269</v>
      </c>
      <c r="D23" s="9"/>
      <c r="E23" s="9"/>
      <c r="F23" s="9"/>
      <c r="G23" s="9"/>
      <c r="H23" s="9"/>
      <c r="I23" s="9"/>
      <c r="J23" s="9"/>
      <c r="K23" s="9"/>
      <c r="L23" s="440">
        <f t="shared" si="0"/>
        <v>0</v>
      </c>
    </row>
    <row r="24" spans="2:12" ht="18">
      <c r="B24" s="438" t="s">
        <v>149</v>
      </c>
      <c r="C24" s="439" t="s">
        <v>1548</v>
      </c>
      <c r="D24" s="9"/>
      <c r="E24" s="9"/>
      <c r="F24" s="9"/>
      <c r="G24" s="9"/>
      <c r="H24" s="9"/>
      <c r="I24" s="9"/>
      <c r="J24" s="9"/>
      <c r="K24" s="9"/>
      <c r="L24" s="440">
        <f t="shared" si="0"/>
        <v>0</v>
      </c>
    </row>
    <row r="25" spans="2:12" ht="19.5">
      <c r="B25" s="438" t="s">
        <v>150</v>
      </c>
      <c r="C25" s="441" t="s">
        <v>1269</v>
      </c>
      <c r="D25" s="9"/>
      <c r="E25" s="9"/>
      <c r="F25" s="9"/>
      <c r="G25" s="9"/>
      <c r="H25" s="9"/>
      <c r="I25" s="9"/>
      <c r="J25" s="9"/>
      <c r="K25" s="9"/>
      <c r="L25" s="440">
        <f t="shared" si="0"/>
        <v>0</v>
      </c>
    </row>
    <row r="26" spans="2:12" ht="18">
      <c r="B26" s="438" t="s">
        <v>151</v>
      </c>
      <c r="C26" s="439" t="s">
        <v>1768</v>
      </c>
      <c r="D26" s="9"/>
      <c r="E26" s="9"/>
      <c r="F26" s="9"/>
      <c r="G26" s="9"/>
      <c r="H26" s="9"/>
      <c r="I26" s="9"/>
      <c r="J26" s="9"/>
      <c r="K26" s="9"/>
      <c r="L26" s="440">
        <f t="shared" si="0"/>
        <v>0</v>
      </c>
    </row>
    <row r="27" spans="2:12" ht="19.5">
      <c r="B27" s="438" t="s">
        <v>152</v>
      </c>
      <c r="C27" s="441" t="s">
        <v>1269</v>
      </c>
      <c r="D27" s="9"/>
      <c r="E27" s="9"/>
      <c r="F27" s="9"/>
      <c r="G27" s="9"/>
      <c r="H27" s="9"/>
      <c r="I27" s="9"/>
      <c r="J27" s="9"/>
      <c r="K27" s="9"/>
      <c r="L27" s="440">
        <f>SUM(D27:K27)</f>
        <v>0</v>
      </c>
    </row>
    <row r="28" spans="2:12" ht="18">
      <c r="B28" s="438" t="s">
        <v>621</v>
      </c>
      <c r="C28" s="442" t="s">
        <v>1268</v>
      </c>
      <c r="D28" s="440">
        <f>+D10+D12+D14+D16+D18+D20+D22+D24+D26</f>
        <v>0</v>
      </c>
      <c r="E28" s="440">
        <f t="shared" ref="E28:K29" si="1">+E10+E12+E14+E16+E18+E20+E22+E24+E26</f>
        <v>0</v>
      </c>
      <c r="F28" s="440">
        <f t="shared" si="1"/>
        <v>0</v>
      </c>
      <c r="G28" s="440">
        <f t="shared" si="1"/>
        <v>0</v>
      </c>
      <c r="H28" s="440">
        <f t="shared" si="1"/>
        <v>0</v>
      </c>
      <c r="I28" s="440">
        <f t="shared" si="1"/>
        <v>0</v>
      </c>
      <c r="J28" s="440">
        <f t="shared" si="1"/>
        <v>0</v>
      </c>
      <c r="K28" s="440">
        <f t="shared" si="1"/>
        <v>0</v>
      </c>
      <c r="L28" s="440">
        <f t="shared" si="0"/>
        <v>0</v>
      </c>
    </row>
    <row r="29" spans="2:12" ht="18">
      <c r="B29" s="438" t="s">
        <v>622</v>
      </c>
      <c r="C29" s="443" t="s">
        <v>1269</v>
      </c>
      <c r="D29" s="440">
        <f>+D11+D13+D15+D17+D19+D21+D23+D25+D27</f>
        <v>0</v>
      </c>
      <c r="E29" s="440">
        <f t="shared" si="1"/>
        <v>0</v>
      </c>
      <c r="F29" s="440">
        <f t="shared" si="1"/>
        <v>0</v>
      </c>
      <c r="G29" s="440">
        <f t="shared" si="1"/>
        <v>0</v>
      </c>
      <c r="H29" s="440">
        <f t="shared" si="1"/>
        <v>0</v>
      </c>
      <c r="I29" s="440">
        <f t="shared" si="1"/>
        <v>0</v>
      </c>
      <c r="J29" s="440">
        <f t="shared" si="1"/>
        <v>0</v>
      </c>
      <c r="K29" s="440">
        <f t="shared" si="1"/>
        <v>0</v>
      </c>
      <c r="L29" s="440">
        <f t="shared" si="0"/>
        <v>0</v>
      </c>
    </row>
  </sheetData>
  <sheetProtection password="E9D4" sheet="1"/>
  <customSheetViews>
    <customSheetView guid="{871F8275-217B-436F-8813-871F820F0EE4}" scale="90" showPageBreaks="1" showGridLines="0" view="pageBreakPreview" topLeftCell="C7">
      <selection activeCell="I22" sqref="I22"/>
      <pageMargins left="0.31496062992125984" right="0.31496062992125984" top="0.39370078740157483" bottom="0.39370078740157483" header="0.19685039370078741" footer="0.19685039370078741"/>
      <pageSetup paperSize="9" scale="71" orientation="landscape" r:id="rId1"/>
      <headerFooter alignWithMargins="0">
        <oddFooter>&amp;L&amp;7&amp;D&amp;C&amp;7&amp;P&amp;R&amp;7&amp;F</oddFooter>
      </headerFooter>
    </customSheetView>
    <customSheetView guid="{2EBF18CB-80C9-43ED-A978-2AAEAC40933E}" scale="75" showGridLines="0" showRuler="0" topLeftCell="B1">
      <selection activeCell="E20" sqref="E20"/>
      <pageMargins left="0.31496062992125984" right="0.31496062992125984" top="0.39370078740157483" bottom="0.39370078740157483" header="0.19685039370078741" footer="0.19685039370078741"/>
      <pageSetup paperSize="9" scale="71" orientation="landscape" horizontalDpi="300" verticalDpi="300" r:id="rId2"/>
      <headerFooter alignWithMargins="0">
        <oddFooter>&amp;L&amp;7&amp;D&amp;C&amp;7&amp;P&amp;R&amp;7&amp;F</oddFooter>
      </headerFooter>
    </customSheetView>
    <customSheetView guid="{47D3AB49-9599-4A16-951B-F48FEC1C0136}" scale="75" showGridLines="0">
      <selection activeCell="F20" sqref="F20"/>
      <pageMargins left="0.31496062992125984" right="0.31496062992125984" top="0.39370078740157483" bottom="0.39370078740157483" header="0.19685039370078741" footer="0.19685039370078741"/>
      <pageSetup paperSize="9" scale="71" orientation="landscape" horizontalDpi="300" verticalDpi="300" r:id="rId3"/>
      <headerFooter alignWithMargins="0">
        <oddFooter>&amp;L&amp;7&amp;D&amp;C&amp;7&amp;P&amp;R&amp;7&amp;F</oddFooter>
      </headerFooter>
    </customSheetView>
    <customSheetView guid="{ECE607A2-8A26-46E0-8BDC-E9AD788F604C}" scale="90" showPageBreaks="1" showGridLines="0" view="pageBreakPreview">
      <selection activeCell="G20" sqref="G20"/>
      <pageMargins left="0.31496062992125984" right="0.31496062992125984" top="0.39370078740157483" bottom="0.39370078740157483" header="0.19685039370078741" footer="0.19685039370078741"/>
      <pageSetup paperSize="9" scale="71" orientation="landscape" r:id="rId4"/>
      <headerFooter alignWithMargins="0">
        <oddFooter>&amp;L&amp;7&amp;D&amp;C&amp;7&amp;P&amp;R&amp;7&amp;F</oddFooter>
      </headerFooter>
    </customSheetView>
    <customSheetView guid="{FB1E0752-409C-4E7D-BCFE-7AEBEB8B5F0D}" scale="90" showPageBreaks="1" showGridLines="0" view="pageBreakPreview" topLeftCell="C1">
      <selection activeCell="F10" sqref="F10"/>
      <pageMargins left="0.31496062992125984" right="0.31496062992125984" top="0.39370078740157483" bottom="0.39370078740157483" header="0.19685039370078741" footer="0.19685039370078741"/>
      <pageSetup paperSize="9" scale="71" orientation="landscape" r:id="rId5"/>
      <headerFooter alignWithMargins="0">
        <oddFooter>&amp;L&amp;7&amp;D&amp;C&amp;7&amp;P&amp;R&amp;7&amp;F</oddFooter>
      </headerFooter>
    </customSheetView>
  </customSheetViews>
  <mergeCells count="6">
    <mergeCell ref="J1:L1"/>
    <mergeCell ref="B6:B7"/>
    <mergeCell ref="I3:L3"/>
    <mergeCell ref="C6:C7"/>
    <mergeCell ref="L6:L7"/>
    <mergeCell ref="D6:K6"/>
  </mergeCells>
  <phoneticPr fontId="0" type="noConversion"/>
  <pageMargins left="0.31496062992125984" right="0.31496062992125984" top="0.39370078740157483" bottom="0.39370078740157483" header="0.19685039370078741" footer="0.19685039370078741"/>
  <pageSetup paperSize="9" scale="70" orientation="landscape" r:id="rId6"/>
  <headerFooter alignWithMargins="0">
    <oddFooter>&amp;L&amp;7&amp;D&amp;C&amp;7&amp;P&amp;R&amp;7&amp;F</oddFooter>
  </headerFooter>
</worksheet>
</file>

<file path=xl/worksheets/sheet27.xml><?xml version="1.0" encoding="utf-8"?>
<worksheet xmlns="http://schemas.openxmlformats.org/spreadsheetml/2006/main" xmlns:r="http://schemas.openxmlformats.org/officeDocument/2006/relationships">
  <sheetPr codeName="Лист28"/>
  <dimension ref="A1:K27"/>
  <sheetViews>
    <sheetView workbookViewId="0"/>
  </sheetViews>
  <sheetFormatPr defaultRowHeight="15"/>
  <cols>
    <col min="1" max="1" width="2.85546875" style="216" customWidth="1"/>
    <col min="2" max="2" width="10.140625" style="216" bestFit="1" customWidth="1"/>
    <col min="3" max="3" width="46.28515625" style="216" customWidth="1"/>
    <col min="4" max="10" width="15.7109375" style="216" customWidth="1"/>
    <col min="11" max="11" width="19.140625" style="216" customWidth="1"/>
    <col min="12" max="16384" width="9.140625" style="216"/>
  </cols>
  <sheetData>
    <row r="1" spans="1:11" s="334" customFormat="1" ht="30.75" customHeight="1">
      <c r="A1" s="711"/>
      <c r="B1" s="712"/>
      <c r="C1" s="713"/>
      <c r="D1" s="714"/>
      <c r="E1" s="715"/>
      <c r="F1" s="714"/>
      <c r="G1" s="713"/>
      <c r="H1" s="714"/>
      <c r="I1" s="1189" t="s">
        <v>1869</v>
      </c>
      <c r="J1" s="1173"/>
      <c r="K1" s="1173"/>
    </row>
    <row r="2" spans="1:11" s="334" customFormat="1" ht="18">
      <c r="A2" s="711"/>
      <c r="B2" s="712"/>
      <c r="C2" s="39" t="str">
        <f>T!E18</f>
        <v>Номгӯи ташкилоти қарзӣ</v>
      </c>
      <c r="D2" s="714"/>
      <c r="E2" s="715"/>
      <c r="F2" s="714"/>
      <c r="G2" s="713"/>
      <c r="H2" s="714"/>
      <c r="I2" s="716"/>
      <c r="J2" s="713"/>
      <c r="K2" s="86"/>
    </row>
    <row r="3" spans="1:11" s="334" customFormat="1" ht="18">
      <c r="A3" s="711"/>
      <c r="B3" s="712"/>
      <c r="C3" s="717" t="str">
        <f>T!B10</f>
        <v>Ҳисобот дар санаи</v>
      </c>
      <c r="D3" s="714"/>
      <c r="E3" s="715"/>
      <c r="F3" s="714"/>
      <c r="G3" s="713"/>
      <c r="H3" s="714"/>
      <c r="I3" s="716"/>
      <c r="J3" s="713"/>
      <c r="K3" s="86"/>
    </row>
    <row r="4" spans="1:11" s="334" customFormat="1" ht="18">
      <c r="A4" s="711"/>
      <c r="B4" s="712"/>
      <c r="C4" s="718" t="str">
        <f>'List of Scedules'!B26</f>
        <v>ҶАДВАЛИ 12.04. БАҚИЯИ МУҲЛАТИ ПАРДОХТ</v>
      </c>
      <c r="D4" s="719"/>
      <c r="E4" s="720"/>
      <c r="F4" s="720"/>
      <c r="G4" s="715"/>
      <c r="H4" s="714"/>
      <c r="I4" s="716"/>
      <c r="J4" s="714"/>
      <c r="K4" s="714"/>
    </row>
    <row r="5" spans="1:11" ht="18">
      <c r="A5" s="721"/>
      <c r="B5" s="712"/>
      <c r="C5" s="1226"/>
      <c r="D5" s="1226"/>
      <c r="E5" s="1226"/>
      <c r="F5" s="1226"/>
      <c r="G5" s="1226"/>
      <c r="H5" s="1226"/>
      <c r="I5" s="1226"/>
      <c r="J5" s="1226"/>
      <c r="K5" s="1226"/>
    </row>
    <row r="6" spans="1:11" ht="18">
      <c r="A6" s="721"/>
      <c r="B6" s="1225"/>
      <c r="C6" s="1219" t="s">
        <v>1659</v>
      </c>
      <c r="D6" s="1219" t="s">
        <v>1110</v>
      </c>
      <c r="E6" s="1219"/>
      <c r="F6" s="1219"/>
      <c r="G6" s="1219"/>
      <c r="H6" s="1219"/>
      <c r="I6" s="1219"/>
      <c r="J6" s="1219"/>
      <c r="K6" s="1227" t="s">
        <v>1268</v>
      </c>
    </row>
    <row r="7" spans="1:11" ht="36">
      <c r="A7" s="721"/>
      <c r="B7" s="1201"/>
      <c r="C7" s="1219"/>
      <c r="D7" s="434" t="s">
        <v>1304</v>
      </c>
      <c r="E7" s="434" t="s">
        <v>1305</v>
      </c>
      <c r="F7" s="434" t="s">
        <v>1306</v>
      </c>
      <c r="G7" s="434" t="s">
        <v>1307</v>
      </c>
      <c r="H7" s="434" t="s">
        <v>1308</v>
      </c>
      <c r="I7" s="444" t="s">
        <v>1770</v>
      </c>
      <c r="J7" s="444" t="s">
        <v>1771</v>
      </c>
      <c r="K7" s="1228"/>
    </row>
    <row r="8" spans="1:11" ht="18">
      <c r="A8" s="721"/>
      <c r="B8" s="454"/>
      <c r="C8" s="446">
        <v>1</v>
      </c>
      <c r="D8" s="455">
        <v>2</v>
      </c>
      <c r="E8" s="455">
        <v>3</v>
      </c>
      <c r="F8" s="455">
        <v>4</v>
      </c>
      <c r="G8" s="455">
        <v>5</v>
      </c>
      <c r="H8" s="455">
        <v>6</v>
      </c>
      <c r="I8" s="455">
        <v>7</v>
      </c>
      <c r="J8" s="455">
        <v>8</v>
      </c>
      <c r="K8" s="455">
        <v>9</v>
      </c>
    </row>
    <row r="9" spans="1:11" ht="18">
      <c r="A9" s="721"/>
      <c r="B9" s="445"/>
      <c r="C9" s="446" t="s">
        <v>1106</v>
      </c>
      <c r="D9" s="447"/>
      <c r="E9" s="447"/>
      <c r="F9" s="447"/>
      <c r="G9" s="447"/>
      <c r="H9" s="447"/>
      <c r="I9" s="447"/>
      <c r="J9" s="447"/>
      <c r="K9" s="447"/>
    </row>
    <row r="10" spans="1:11" ht="18">
      <c r="A10" s="721"/>
      <c r="B10" s="438" t="s">
        <v>181</v>
      </c>
      <c r="C10" s="448" t="s">
        <v>1772</v>
      </c>
      <c r="D10" s="9"/>
      <c r="E10" s="9"/>
      <c r="F10" s="9"/>
      <c r="G10" s="9"/>
      <c r="H10" s="9"/>
      <c r="I10" s="9"/>
      <c r="J10" s="9"/>
      <c r="K10" s="449">
        <f>SUM(D10:J10)</f>
        <v>0</v>
      </c>
    </row>
    <row r="11" spans="1:11" ht="19.5">
      <c r="A11" s="721"/>
      <c r="B11" s="438" t="s">
        <v>182</v>
      </c>
      <c r="C11" s="441" t="s">
        <v>1269</v>
      </c>
      <c r="D11" s="9"/>
      <c r="E11" s="9"/>
      <c r="F11" s="9"/>
      <c r="G11" s="9"/>
      <c r="H11" s="9"/>
      <c r="I11" s="9"/>
      <c r="J11" s="9"/>
      <c r="K11" s="449">
        <f t="shared" ref="K11:K27" si="0">SUM(D11:J11)</f>
        <v>0</v>
      </c>
    </row>
    <row r="12" spans="1:11" ht="36">
      <c r="A12" s="721"/>
      <c r="B12" s="438" t="s">
        <v>183</v>
      </c>
      <c r="C12" s="448" t="s">
        <v>1314</v>
      </c>
      <c r="D12" s="9"/>
      <c r="E12" s="9"/>
      <c r="F12" s="9"/>
      <c r="G12" s="9"/>
      <c r="H12" s="9"/>
      <c r="I12" s="9"/>
      <c r="J12" s="9"/>
      <c r="K12" s="449">
        <f t="shared" si="0"/>
        <v>0</v>
      </c>
    </row>
    <row r="13" spans="1:11" ht="19.5">
      <c r="A13" s="721"/>
      <c r="B13" s="438" t="s">
        <v>247</v>
      </c>
      <c r="C13" s="441" t="s">
        <v>1269</v>
      </c>
      <c r="D13" s="9"/>
      <c r="E13" s="9"/>
      <c r="F13" s="9"/>
      <c r="G13" s="9"/>
      <c r="H13" s="9"/>
      <c r="I13" s="9"/>
      <c r="J13" s="9"/>
      <c r="K13" s="449">
        <f t="shared" si="0"/>
        <v>0</v>
      </c>
    </row>
    <row r="14" spans="1:11" ht="36">
      <c r="A14" s="721"/>
      <c r="B14" s="438" t="s">
        <v>495</v>
      </c>
      <c r="C14" s="448" t="s">
        <v>1315</v>
      </c>
      <c r="D14" s="9"/>
      <c r="E14" s="9"/>
      <c r="F14" s="9"/>
      <c r="G14" s="9"/>
      <c r="H14" s="9"/>
      <c r="I14" s="9"/>
      <c r="J14" s="9"/>
      <c r="K14" s="449">
        <f t="shared" si="0"/>
        <v>0</v>
      </c>
    </row>
    <row r="15" spans="1:11" ht="19.5">
      <c r="A15" s="721"/>
      <c r="B15" s="438" t="s">
        <v>496</v>
      </c>
      <c r="C15" s="441" t="s">
        <v>1269</v>
      </c>
      <c r="D15" s="9"/>
      <c r="E15" s="9"/>
      <c r="F15" s="9"/>
      <c r="G15" s="9"/>
      <c r="H15" s="9"/>
      <c r="I15" s="9"/>
      <c r="J15" s="9"/>
      <c r="K15" s="449">
        <f t="shared" si="0"/>
        <v>0</v>
      </c>
    </row>
    <row r="16" spans="1:11" ht="36">
      <c r="A16" s="721"/>
      <c r="B16" s="438" t="s">
        <v>248</v>
      </c>
      <c r="C16" s="448" t="s">
        <v>1316</v>
      </c>
      <c r="D16" s="9"/>
      <c r="E16" s="9"/>
      <c r="F16" s="9"/>
      <c r="G16" s="9"/>
      <c r="H16" s="9"/>
      <c r="I16" s="9"/>
      <c r="J16" s="9"/>
      <c r="K16" s="449">
        <f t="shared" si="0"/>
        <v>0</v>
      </c>
    </row>
    <row r="17" spans="1:11" ht="19.5">
      <c r="A17" s="721"/>
      <c r="B17" s="438" t="s">
        <v>249</v>
      </c>
      <c r="C17" s="441" t="s">
        <v>1269</v>
      </c>
      <c r="D17" s="9"/>
      <c r="E17" s="9"/>
      <c r="F17" s="9"/>
      <c r="G17" s="9"/>
      <c r="H17" s="9"/>
      <c r="I17" s="9"/>
      <c r="J17" s="9"/>
      <c r="K17" s="449">
        <f t="shared" si="0"/>
        <v>0</v>
      </c>
    </row>
    <row r="18" spans="1:11" ht="18">
      <c r="A18" s="721"/>
      <c r="B18" s="438" t="s">
        <v>250</v>
      </c>
      <c r="C18" s="448" t="s">
        <v>1317</v>
      </c>
      <c r="D18" s="9"/>
      <c r="E18" s="9"/>
      <c r="F18" s="9"/>
      <c r="G18" s="9"/>
      <c r="H18" s="9"/>
      <c r="I18" s="9"/>
      <c r="J18" s="9"/>
      <c r="K18" s="449">
        <f t="shared" si="0"/>
        <v>0</v>
      </c>
    </row>
    <row r="19" spans="1:11" ht="19.5">
      <c r="A19" s="721"/>
      <c r="B19" s="438" t="s">
        <v>251</v>
      </c>
      <c r="C19" s="441" t="s">
        <v>1269</v>
      </c>
      <c r="D19" s="9"/>
      <c r="E19" s="9"/>
      <c r="F19" s="9"/>
      <c r="G19" s="9"/>
      <c r="H19" s="9"/>
      <c r="I19" s="9"/>
      <c r="J19" s="9"/>
      <c r="K19" s="449">
        <f t="shared" si="0"/>
        <v>0</v>
      </c>
    </row>
    <row r="20" spans="1:11" ht="18">
      <c r="A20" s="721"/>
      <c r="B20" s="438" t="s">
        <v>252</v>
      </c>
      <c r="C20" s="448" t="s">
        <v>196</v>
      </c>
      <c r="D20" s="9"/>
      <c r="E20" s="9"/>
      <c r="F20" s="9"/>
      <c r="G20" s="9"/>
      <c r="H20" s="9"/>
      <c r="I20" s="9"/>
      <c r="J20" s="9"/>
      <c r="K20" s="449">
        <f t="shared" si="0"/>
        <v>0</v>
      </c>
    </row>
    <row r="21" spans="1:11" ht="19.5">
      <c r="A21" s="721"/>
      <c r="B21" s="438" t="s">
        <v>253</v>
      </c>
      <c r="C21" s="441" t="s">
        <v>1269</v>
      </c>
      <c r="D21" s="9"/>
      <c r="E21" s="9"/>
      <c r="F21" s="9"/>
      <c r="G21" s="9"/>
      <c r="H21" s="9"/>
      <c r="I21" s="9"/>
      <c r="J21" s="9"/>
      <c r="K21" s="449">
        <f t="shared" si="0"/>
        <v>0</v>
      </c>
    </row>
    <row r="22" spans="1:11" ht="18">
      <c r="A22" s="721"/>
      <c r="B22" s="438" t="s">
        <v>254</v>
      </c>
      <c r="C22" s="448" t="s">
        <v>1548</v>
      </c>
      <c r="D22" s="9"/>
      <c r="E22" s="9"/>
      <c r="F22" s="9"/>
      <c r="G22" s="9"/>
      <c r="H22" s="9"/>
      <c r="I22" s="9"/>
      <c r="J22" s="9"/>
      <c r="K22" s="449">
        <f t="shared" si="0"/>
        <v>0</v>
      </c>
    </row>
    <row r="23" spans="1:11" ht="19.5">
      <c r="A23" s="721"/>
      <c r="B23" s="438" t="s">
        <v>255</v>
      </c>
      <c r="C23" s="441" t="s">
        <v>1269</v>
      </c>
      <c r="D23" s="9"/>
      <c r="E23" s="9"/>
      <c r="F23" s="9"/>
      <c r="G23" s="9"/>
      <c r="H23" s="9"/>
      <c r="I23" s="9"/>
      <c r="J23" s="9"/>
      <c r="K23" s="449">
        <f t="shared" si="0"/>
        <v>0</v>
      </c>
    </row>
    <row r="24" spans="1:11" ht="18">
      <c r="A24" s="721"/>
      <c r="B24" s="438" t="s">
        <v>256</v>
      </c>
      <c r="C24" s="448" t="s">
        <v>1768</v>
      </c>
      <c r="D24" s="9"/>
      <c r="E24" s="9"/>
      <c r="F24" s="9"/>
      <c r="G24" s="9"/>
      <c r="H24" s="9"/>
      <c r="I24" s="9"/>
      <c r="J24" s="9"/>
      <c r="K24" s="449">
        <f t="shared" si="0"/>
        <v>0</v>
      </c>
    </row>
    <row r="25" spans="1:11" ht="19.5">
      <c r="A25" s="721"/>
      <c r="B25" s="438" t="s">
        <v>257</v>
      </c>
      <c r="C25" s="441" t="s">
        <v>1269</v>
      </c>
      <c r="D25" s="9"/>
      <c r="E25" s="9"/>
      <c r="F25" s="9"/>
      <c r="G25" s="9"/>
      <c r="H25" s="9"/>
      <c r="I25" s="9"/>
      <c r="J25" s="9"/>
      <c r="K25" s="449">
        <f t="shared" si="0"/>
        <v>0</v>
      </c>
    </row>
    <row r="26" spans="1:11" ht="18">
      <c r="B26" s="438" t="s">
        <v>623</v>
      </c>
      <c r="C26" s="450" t="s">
        <v>1268</v>
      </c>
      <c r="D26" s="449">
        <f>+D10+D12+D14+D16+D18+D20+D22+D24</f>
        <v>0</v>
      </c>
      <c r="E26" s="449">
        <f t="shared" ref="E26:J27" si="1">+E10+E12+E14+E16+E18+E20+E22+E24</f>
        <v>0</v>
      </c>
      <c r="F26" s="449">
        <f t="shared" si="1"/>
        <v>0</v>
      </c>
      <c r="G26" s="449">
        <f t="shared" si="1"/>
        <v>0</v>
      </c>
      <c r="H26" s="449">
        <f t="shared" si="1"/>
        <v>0</v>
      </c>
      <c r="I26" s="449">
        <f t="shared" si="1"/>
        <v>0</v>
      </c>
      <c r="J26" s="449">
        <f t="shared" si="1"/>
        <v>0</v>
      </c>
      <c r="K26" s="449">
        <f t="shared" si="0"/>
        <v>0</v>
      </c>
    </row>
    <row r="27" spans="1:11" ht="18">
      <c r="B27" s="438" t="s">
        <v>624</v>
      </c>
      <c r="C27" s="451" t="s">
        <v>1269</v>
      </c>
      <c r="D27" s="449">
        <f>+D11+D13+D15+D17+D19+D21+D23+D25</f>
        <v>0</v>
      </c>
      <c r="E27" s="449">
        <f t="shared" si="1"/>
        <v>0</v>
      </c>
      <c r="F27" s="449">
        <f t="shared" si="1"/>
        <v>0</v>
      </c>
      <c r="G27" s="449">
        <f t="shared" si="1"/>
        <v>0</v>
      </c>
      <c r="H27" s="449">
        <f t="shared" si="1"/>
        <v>0</v>
      </c>
      <c r="I27" s="449">
        <f t="shared" si="1"/>
        <v>0</v>
      </c>
      <c r="J27" s="449">
        <f t="shared" si="1"/>
        <v>0</v>
      </c>
      <c r="K27" s="449">
        <f t="shared" si="0"/>
        <v>0</v>
      </c>
    </row>
  </sheetData>
  <sheetProtection password="E9D4" sheet="1"/>
  <customSheetViews>
    <customSheetView guid="{871F8275-217B-436F-8813-871F820F0EE4}" scale="95" showPageBreaks="1" showGridLines="0" view="pageBreakPreview" topLeftCell="A7">
      <selection activeCell="G21" sqref="G21"/>
      <pageMargins left="0.31496062992125984" right="0.31496062992125984" top="0.39370078740157483" bottom="0.39370078740157483" header="0.19685039370078741" footer="0.19685039370078741"/>
      <pageSetup paperSize="9" scale="76" orientation="landscape" r:id="rId1"/>
      <headerFooter alignWithMargins="0">
        <oddFooter>&amp;L&amp;7&amp;D&amp;C&amp;7&amp;P&amp;R&amp;7&amp;F</oddFooter>
      </headerFooter>
    </customSheetView>
    <customSheetView guid="{2EBF18CB-80C9-43ED-A978-2AAEAC40933E}" scale="75" showGridLines="0" showRuler="0">
      <selection activeCell="E18" sqref="E18"/>
      <pageMargins left="0.31496062992125984" right="0.31496062992125984" top="0.39370078740157483" bottom="0.39370078740157483" header="0.19685039370078741" footer="0.19685039370078741"/>
      <pageSetup paperSize="9" scale="76" orientation="landscape" horizontalDpi="300" verticalDpi="300" r:id="rId2"/>
      <headerFooter alignWithMargins="0">
        <oddFooter>&amp;L&amp;7&amp;D&amp;C&amp;7&amp;P&amp;R&amp;7&amp;F</oddFooter>
      </headerFooter>
    </customSheetView>
    <customSheetView guid="{47D3AB49-9599-4A16-951B-F48FEC1C0136}" scale="75" showGridLines="0">
      <selection activeCell="G21" sqref="G21"/>
      <pageMargins left="0.31496062992125984" right="0.31496062992125984" top="0.39370078740157483" bottom="0.39370078740157483" header="0.19685039370078741" footer="0.19685039370078741"/>
      <pageSetup paperSize="9" scale="76" orientation="landscape" horizontalDpi="300" verticalDpi="300" r:id="rId3"/>
      <headerFooter alignWithMargins="0">
        <oddFooter>&amp;L&amp;7&amp;D&amp;C&amp;7&amp;P&amp;R&amp;7&amp;F</oddFooter>
      </headerFooter>
    </customSheetView>
    <customSheetView guid="{ECE607A2-8A26-46E0-8BDC-E9AD788F604C}" scale="95" showPageBreaks="1" showGridLines="0" view="pageBreakPreview" topLeftCell="D7">
      <selection activeCell="K27" sqref="K27"/>
      <pageMargins left="0.31496062992125984" right="0.31496062992125984" top="0.39370078740157483" bottom="0.39370078740157483" header="0.19685039370078741" footer="0.19685039370078741"/>
      <pageSetup paperSize="9" scale="76" orientation="landscape" r:id="rId4"/>
      <headerFooter alignWithMargins="0">
        <oddFooter>&amp;L&amp;7&amp;D&amp;C&amp;7&amp;P&amp;R&amp;7&amp;F</oddFooter>
      </headerFooter>
    </customSheetView>
    <customSheetView guid="{FB1E0752-409C-4E7D-BCFE-7AEBEB8B5F0D}" scale="95" showPageBreaks="1" showGridLines="0" view="pageBreakPreview" topLeftCell="D7">
      <selection activeCell="K27" sqref="K27"/>
      <pageMargins left="0.31496062992125984" right="0.31496062992125984" top="0.39370078740157483" bottom="0.39370078740157483" header="0.19685039370078741" footer="0.19685039370078741"/>
      <pageSetup paperSize="9" scale="76" orientation="landscape" r:id="rId5"/>
      <headerFooter alignWithMargins="0">
        <oddFooter>&amp;L&amp;7&amp;D&amp;C&amp;7&amp;P&amp;R&amp;7&amp;F</oddFooter>
      </headerFooter>
    </customSheetView>
  </customSheetViews>
  <mergeCells count="6">
    <mergeCell ref="I1:K1"/>
    <mergeCell ref="B6:B7"/>
    <mergeCell ref="C5:K5"/>
    <mergeCell ref="C6:C7"/>
    <mergeCell ref="D6:J6"/>
    <mergeCell ref="K6:K7"/>
  </mergeCells>
  <phoneticPr fontId="0" type="noConversion"/>
  <pageMargins left="0.31496062992125984" right="0.31496062992125984" top="0.39370078740157483" bottom="0.39370078740157483" header="0.19685039370078741" footer="0.19685039370078741"/>
  <pageSetup paperSize="9" scale="75" orientation="landscape" r:id="rId6"/>
  <headerFooter alignWithMargins="0">
    <oddFooter>&amp;L&amp;7&amp;D&amp;C&amp;7&amp;P&amp;R&amp;7&amp;F</oddFooter>
  </headerFooter>
</worksheet>
</file>

<file path=xl/worksheets/sheet28.xml><?xml version="1.0" encoding="utf-8"?>
<worksheet xmlns="http://schemas.openxmlformats.org/spreadsheetml/2006/main" xmlns:r="http://schemas.openxmlformats.org/officeDocument/2006/relationships">
  <sheetPr codeName="Лист29"/>
  <dimension ref="B1:I43"/>
  <sheetViews>
    <sheetView workbookViewId="0"/>
  </sheetViews>
  <sheetFormatPr defaultRowHeight="15"/>
  <cols>
    <col min="1" max="1" width="5.28515625" style="216" customWidth="1"/>
    <col min="2" max="2" width="11.7109375" style="216" customWidth="1"/>
    <col min="3" max="3" width="42.7109375" style="216" customWidth="1"/>
    <col min="4" max="9" width="20.7109375" style="216" customWidth="1"/>
    <col min="10" max="16384" width="9.140625" style="216"/>
  </cols>
  <sheetData>
    <row r="1" spans="2:9" s="334" customFormat="1" ht="9.75" customHeight="1">
      <c r="B1" s="722"/>
      <c r="C1" s="723"/>
      <c r="D1" s="724"/>
      <c r="E1" s="725"/>
      <c r="F1" s="724"/>
      <c r="G1" s="723"/>
      <c r="H1" s="1189" t="s">
        <v>1870</v>
      </c>
      <c r="I1" s="1168"/>
    </row>
    <row r="2" spans="2:9" s="334" customFormat="1" ht="18" customHeight="1">
      <c r="B2" s="722"/>
      <c r="C2" s="39" t="str">
        <f>T!E18</f>
        <v>Номгӯи ташкилоти қарзӣ</v>
      </c>
      <c r="D2" s="724"/>
      <c r="E2" s="725"/>
      <c r="F2" s="724"/>
      <c r="G2" s="723"/>
      <c r="H2" s="1173"/>
      <c r="I2" s="1173"/>
    </row>
    <row r="3" spans="2:9" s="334" customFormat="1" ht="18">
      <c r="B3" s="722"/>
      <c r="C3" s="726" t="str">
        <f>T!B10</f>
        <v>Ҳисобот дар санаи</v>
      </c>
      <c r="D3" s="727"/>
      <c r="E3" s="727"/>
      <c r="F3" s="727"/>
      <c r="G3" s="727"/>
      <c r="H3" s="723"/>
      <c r="I3" s="727"/>
    </row>
    <row r="4" spans="2:9" s="334" customFormat="1" ht="18">
      <c r="B4" s="722"/>
      <c r="C4" s="728" t="str">
        <f>'List of Scedules'!B27</f>
        <v>ҶАДВАЛИ 13.01. ТАСНИФИ АМОНАТҲО АЗ РӮИ МАБЛАҒ</v>
      </c>
      <c r="D4" s="727"/>
      <c r="E4" s="727"/>
      <c r="F4" s="727"/>
      <c r="G4" s="727"/>
      <c r="H4" s="723"/>
      <c r="I4" s="727"/>
    </row>
    <row r="5" spans="2:9" ht="19.5">
      <c r="B5" s="729"/>
      <c r="C5" s="728"/>
      <c r="D5" s="728"/>
      <c r="E5" s="728"/>
      <c r="F5" s="728"/>
      <c r="G5" s="728"/>
      <c r="H5" s="728"/>
      <c r="I5" s="730"/>
    </row>
    <row r="6" spans="2:9" ht="18">
      <c r="B6" s="1232"/>
      <c r="C6" s="1230"/>
      <c r="D6" s="1230" t="s">
        <v>1320</v>
      </c>
      <c r="E6" s="1230"/>
      <c r="F6" s="1230"/>
      <c r="G6" s="1230"/>
      <c r="H6" s="1230"/>
      <c r="I6" s="1230" t="s">
        <v>1321</v>
      </c>
    </row>
    <row r="7" spans="2:9" ht="18">
      <c r="B7" s="1201"/>
      <c r="C7" s="1201"/>
      <c r="D7" s="1229" t="s">
        <v>1322</v>
      </c>
      <c r="E7" s="1229"/>
      <c r="F7" s="1229"/>
      <c r="G7" s="1229"/>
      <c r="H7" s="1229"/>
      <c r="I7" s="1231"/>
    </row>
    <row r="8" spans="2:9" ht="18">
      <c r="B8" s="1201"/>
      <c r="C8" s="1201"/>
      <c r="D8" s="456" t="s">
        <v>1774</v>
      </c>
      <c r="E8" s="456" t="s">
        <v>1775</v>
      </c>
      <c r="F8" s="456" t="s">
        <v>1776</v>
      </c>
      <c r="G8" s="456" t="s">
        <v>1777</v>
      </c>
      <c r="H8" s="456" t="s">
        <v>1778</v>
      </c>
      <c r="I8" s="1231"/>
    </row>
    <row r="9" spans="2:9" ht="18">
      <c r="B9" s="457" t="s">
        <v>21</v>
      </c>
      <c r="C9" s="458" t="s">
        <v>1773</v>
      </c>
      <c r="D9" s="459"/>
      <c r="E9" s="459"/>
      <c r="F9" s="459"/>
      <c r="G9" s="459"/>
      <c r="H9" s="459"/>
      <c r="I9" s="459"/>
    </row>
    <row r="10" spans="2:9" ht="18">
      <c r="B10" s="457" t="s">
        <v>22</v>
      </c>
      <c r="C10" s="460" t="s">
        <v>1323</v>
      </c>
      <c r="D10" s="461"/>
      <c r="E10" s="461"/>
      <c r="F10" s="461"/>
      <c r="G10" s="461"/>
      <c r="H10" s="461"/>
      <c r="I10" s="462"/>
    </row>
    <row r="11" spans="2:9" ht="18">
      <c r="B11" s="457" t="s">
        <v>23</v>
      </c>
      <c r="C11" s="463" t="s">
        <v>1324</v>
      </c>
      <c r="D11" s="9">
        <v>0</v>
      </c>
      <c r="E11" s="9">
        <v>0</v>
      </c>
      <c r="F11" s="9">
        <v>0</v>
      </c>
      <c r="G11" s="9">
        <v>0</v>
      </c>
      <c r="H11" s="9">
        <v>0</v>
      </c>
      <c r="I11" s="464">
        <f>SUM(D11:H11)</f>
        <v>0</v>
      </c>
    </row>
    <row r="12" spans="2:9" ht="18">
      <c r="B12" s="457" t="s">
        <v>24</v>
      </c>
      <c r="C12" s="463" t="s">
        <v>1325</v>
      </c>
      <c r="D12" s="9">
        <v>0</v>
      </c>
      <c r="E12" s="9">
        <v>0</v>
      </c>
      <c r="F12" s="9">
        <v>0</v>
      </c>
      <c r="G12" s="9">
        <v>0</v>
      </c>
      <c r="H12" s="9">
        <v>0</v>
      </c>
      <c r="I12" s="464">
        <f>SUM(D12:H12)</f>
        <v>0</v>
      </c>
    </row>
    <row r="13" spans="2:9" ht="18">
      <c r="B13" s="457" t="s">
        <v>25</v>
      </c>
      <c r="C13" s="460" t="s">
        <v>1326</v>
      </c>
      <c r="D13" s="461"/>
      <c r="E13" s="461"/>
      <c r="F13" s="461"/>
      <c r="G13" s="461"/>
      <c r="H13" s="461"/>
      <c r="I13" s="462"/>
    </row>
    <row r="14" spans="2:9" ht="18">
      <c r="B14" s="457" t="s">
        <v>26</v>
      </c>
      <c r="C14" s="463" t="s">
        <v>1324</v>
      </c>
      <c r="D14" s="9">
        <v>0</v>
      </c>
      <c r="E14" s="9">
        <v>0</v>
      </c>
      <c r="F14" s="9">
        <v>0</v>
      </c>
      <c r="G14" s="9">
        <v>0</v>
      </c>
      <c r="H14" s="9">
        <v>0</v>
      </c>
      <c r="I14" s="464">
        <f>SUM(D14:H14)</f>
        <v>0</v>
      </c>
    </row>
    <row r="15" spans="2:9" ht="18">
      <c r="B15" s="457" t="s">
        <v>27</v>
      </c>
      <c r="C15" s="463" t="s">
        <v>1325</v>
      </c>
      <c r="D15" s="9">
        <v>0</v>
      </c>
      <c r="E15" s="9">
        <v>0</v>
      </c>
      <c r="F15" s="9">
        <v>0</v>
      </c>
      <c r="G15" s="9">
        <v>0</v>
      </c>
      <c r="H15" s="9">
        <v>0</v>
      </c>
      <c r="I15" s="464">
        <f>SUM(D15:H15)</f>
        <v>0</v>
      </c>
    </row>
    <row r="16" spans="2:9" ht="18">
      <c r="B16" s="457" t="s">
        <v>28</v>
      </c>
      <c r="C16" s="465" t="s">
        <v>1114</v>
      </c>
      <c r="D16" s="462"/>
      <c r="E16" s="462"/>
      <c r="F16" s="462"/>
      <c r="G16" s="462"/>
      <c r="H16" s="462"/>
      <c r="I16" s="462"/>
    </row>
    <row r="17" spans="2:9" ht="18">
      <c r="B17" s="457" t="s">
        <v>29</v>
      </c>
      <c r="C17" s="460" t="s">
        <v>1323</v>
      </c>
      <c r="D17" s="461"/>
      <c r="E17" s="461"/>
      <c r="F17" s="461"/>
      <c r="G17" s="461"/>
      <c r="H17" s="461"/>
      <c r="I17" s="462"/>
    </row>
    <row r="18" spans="2:9" ht="18">
      <c r="B18" s="457" t="s">
        <v>30</v>
      </c>
      <c r="C18" s="463" t="s">
        <v>1324</v>
      </c>
      <c r="D18" s="9"/>
      <c r="E18" s="9"/>
      <c r="F18" s="9"/>
      <c r="G18" s="9"/>
      <c r="H18" s="9"/>
      <c r="I18" s="464">
        <f>SUM(D18:H18)</f>
        <v>0</v>
      </c>
    </row>
    <row r="19" spans="2:9" ht="18">
      <c r="B19" s="457" t="s">
        <v>41</v>
      </c>
      <c r="C19" s="463" t="s">
        <v>1325</v>
      </c>
      <c r="D19" s="9"/>
      <c r="E19" s="9"/>
      <c r="F19" s="9"/>
      <c r="G19" s="9"/>
      <c r="H19" s="9"/>
      <c r="I19" s="464">
        <f>SUM(D19:H19)</f>
        <v>0</v>
      </c>
    </row>
    <row r="20" spans="2:9" ht="18">
      <c r="B20" s="457" t="s">
        <v>42</v>
      </c>
      <c r="C20" s="460" t="s">
        <v>1326</v>
      </c>
      <c r="D20" s="461"/>
      <c r="E20" s="461"/>
      <c r="F20" s="461"/>
      <c r="G20" s="461"/>
      <c r="H20" s="461"/>
      <c r="I20" s="462"/>
    </row>
    <row r="21" spans="2:9" ht="18">
      <c r="B21" s="457" t="s">
        <v>43</v>
      </c>
      <c r="C21" s="463" t="s">
        <v>1324</v>
      </c>
      <c r="D21" s="9"/>
      <c r="E21" s="9"/>
      <c r="F21" s="9"/>
      <c r="G21" s="9"/>
      <c r="H21" s="9"/>
      <c r="I21" s="464">
        <f>SUM(D21:H21)</f>
        <v>0</v>
      </c>
    </row>
    <row r="22" spans="2:9" ht="18">
      <c r="B22" s="457" t="s">
        <v>44</v>
      </c>
      <c r="C22" s="463" t="s">
        <v>1325</v>
      </c>
      <c r="D22" s="9"/>
      <c r="E22" s="9"/>
      <c r="F22" s="9"/>
      <c r="G22" s="9"/>
      <c r="H22" s="9"/>
      <c r="I22" s="464">
        <f>SUM(D22:H22)</f>
        <v>0</v>
      </c>
    </row>
    <row r="23" spans="2:9" ht="18">
      <c r="B23" s="466" t="s">
        <v>1512</v>
      </c>
      <c r="C23" s="467" t="s">
        <v>1327</v>
      </c>
      <c r="D23" s="468"/>
      <c r="E23" s="468"/>
      <c r="F23" s="468"/>
      <c r="G23" s="468"/>
      <c r="H23" s="468"/>
      <c r="I23" s="464">
        <f>SUM(I11,I14,I18,I21)</f>
        <v>0</v>
      </c>
    </row>
    <row r="24" spans="2:9" ht="10.5" customHeight="1">
      <c r="B24" s="729"/>
      <c r="C24" s="731"/>
      <c r="D24" s="731"/>
      <c r="E24" s="731"/>
      <c r="F24" s="731"/>
      <c r="G24" s="731"/>
      <c r="H24" s="731"/>
      <c r="I24" s="731"/>
    </row>
    <row r="25" spans="2:9" ht="7.5" customHeight="1">
      <c r="B25" s="729"/>
      <c r="C25" s="728"/>
      <c r="D25" s="732"/>
      <c r="E25" s="732"/>
      <c r="F25" s="732"/>
      <c r="G25" s="732"/>
      <c r="H25" s="732"/>
      <c r="I25" s="732"/>
    </row>
    <row r="26" spans="2:9" ht="18">
      <c r="B26" s="1232"/>
      <c r="C26" s="1230"/>
      <c r="D26" s="1230" t="s">
        <v>1320</v>
      </c>
      <c r="E26" s="1230"/>
      <c r="F26" s="1230"/>
      <c r="G26" s="1230"/>
      <c r="H26" s="1230"/>
      <c r="I26" s="1230" t="s">
        <v>1321</v>
      </c>
    </row>
    <row r="27" spans="2:9" ht="18">
      <c r="B27" s="1201"/>
      <c r="C27" s="1201"/>
      <c r="D27" s="1229" t="s">
        <v>1328</v>
      </c>
      <c r="E27" s="1233"/>
      <c r="F27" s="1233"/>
      <c r="G27" s="1233"/>
      <c r="H27" s="1233"/>
      <c r="I27" s="1231"/>
    </row>
    <row r="28" spans="2:9" ht="18">
      <c r="B28" s="1201"/>
      <c r="C28" s="1201"/>
      <c r="D28" s="456" t="s">
        <v>1774</v>
      </c>
      <c r="E28" s="456" t="s">
        <v>1775</v>
      </c>
      <c r="F28" s="456" t="s">
        <v>1776</v>
      </c>
      <c r="G28" s="456" t="s">
        <v>1777</v>
      </c>
      <c r="H28" s="456" t="s">
        <v>1778</v>
      </c>
      <c r="I28" s="1231"/>
    </row>
    <row r="29" spans="2:9" ht="18">
      <c r="B29" s="457" t="s">
        <v>31</v>
      </c>
      <c r="C29" s="458" t="s">
        <v>1773</v>
      </c>
      <c r="D29" s="459"/>
      <c r="E29" s="459"/>
      <c r="F29" s="459"/>
      <c r="G29" s="459"/>
      <c r="H29" s="459"/>
      <c r="I29" s="459"/>
    </row>
    <row r="30" spans="2:9" ht="18">
      <c r="B30" s="457" t="s">
        <v>32</v>
      </c>
      <c r="C30" s="460" t="s">
        <v>1323</v>
      </c>
      <c r="D30" s="459"/>
      <c r="E30" s="459"/>
      <c r="F30" s="459"/>
      <c r="G30" s="459"/>
      <c r="H30" s="459"/>
      <c r="I30" s="459"/>
    </row>
    <row r="31" spans="2:9" ht="18">
      <c r="B31" s="457" t="s">
        <v>33</v>
      </c>
      <c r="C31" s="463" t="s">
        <v>1324</v>
      </c>
      <c r="D31" s="9">
        <v>0</v>
      </c>
      <c r="E31" s="9">
        <v>0</v>
      </c>
      <c r="F31" s="9">
        <v>0</v>
      </c>
      <c r="G31" s="9">
        <v>0</v>
      </c>
      <c r="H31" s="9">
        <v>0</v>
      </c>
      <c r="I31" s="464">
        <f t="shared" ref="I31:I42" si="0">SUM(D31:H31)</f>
        <v>0</v>
      </c>
    </row>
    <row r="32" spans="2:9" ht="18">
      <c r="B32" s="457" t="s">
        <v>34</v>
      </c>
      <c r="C32" s="463" t="s">
        <v>1325</v>
      </c>
      <c r="D32" s="9">
        <v>0</v>
      </c>
      <c r="E32" s="9">
        <v>0</v>
      </c>
      <c r="F32" s="9">
        <v>0</v>
      </c>
      <c r="G32" s="9">
        <v>0</v>
      </c>
      <c r="H32" s="9">
        <v>0</v>
      </c>
      <c r="I32" s="464">
        <f t="shared" si="0"/>
        <v>0</v>
      </c>
    </row>
    <row r="33" spans="2:9" ht="18">
      <c r="B33" s="457" t="s">
        <v>35</v>
      </c>
      <c r="C33" s="460" t="s">
        <v>1326</v>
      </c>
      <c r="D33" s="462"/>
      <c r="E33" s="462"/>
      <c r="F33" s="462"/>
      <c r="G33" s="462"/>
      <c r="H33" s="462"/>
      <c r="I33" s="462"/>
    </row>
    <row r="34" spans="2:9" ht="18">
      <c r="B34" s="457" t="s">
        <v>36</v>
      </c>
      <c r="C34" s="463" t="s">
        <v>1324</v>
      </c>
      <c r="D34" s="9">
        <v>0</v>
      </c>
      <c r="E34" s="9">
        <v>0</v>
      </c>
      <c r="F34" s="9">
        <v>0</v>
      </c>
      <c r="G34" s="9">
        <v>0</v>
      </c>
      <c r="H34" s="9">
        <v>0</v>
      </c>
      <c r="I34" s="464">
        <f t="shared" si="0"/>
        <v>0</v>
      </c>
    </row>
    <row r="35" spans="2:9" ht="18">
      <c r="B35" s="457" t="s">
        <v>37</v>
      </c>
      <c r="C35" s="463" t="s">
        <v>1325</v>
      </c>
      <c r="D35" s="9">
        <v>0</v>
      </c>
      <c r="E35" s="9">
        <v>0</v>
      </c>
      <c r="F35" s="9">
        <v>0</v>
      </c>
      <c r="G35" s="9">
        <v>0</v>
      </c>
      <c r="H35" s="9">
        <v>0</v>
      </c>
      <c r="I35" s="464">
        <f t="shared" si="0"/>
        <v>0</v>
      </c>
    </row>
    <row r="36" spans="2:9" ht="18">
      <c r="B36" s="457" t="s">
        <v>38</v>
      </c>
      <c r="C36" s="465" t="s">
        <v>1114</v>
      </c>
      <c r="D36" s="462"/>
      <c r="E36" s="462"/>
      <c r="F36" s="462"/>
      <c r="G36" s="462"/>
      <c r="H36" s="462"/>
      <c r="I36" s="462"/>
    </row>
    <row r="37" spans="2:9" ht="18">
      <c r="B37" s="457" t="s">
        <v>39</v>
      </c>
      <c r="C37" s="460" t="s">
        <v>1323</v>
      </c>
      <c r="D37" s="469"/>
      <c r="E37" s="469"/>
      <c r="F37" s="469"/>
      <c r="G37" s="469"/>
      <c r="H37" s="469"/>
      <c r="I37" s="462"/>
    </row>
    <row r="38" spans="2:9" ht="18">
      <c r="B38" s="457" t="s">
        <v>40</v>
      </c>
      <c r="C38" s="463" t="s">
        <v>1324</v>
      </c>
      <c r="D38" s="9"/>
      <c r="E38" s="9"/>
      <c r="F38" s="9"/>
      <c r="G38" s="9"/>
      <c r="H38" s="9"/>
      <c r="I38" s="464">
        <f t="shared" si="0"/>
        <v>0</v>
      </c>
    </row>
    <row r="39" spans="2:9" ht="18">
      <c r="B39" s="457" t="s">
        <v>46</v>
      </c>
      <c r="C39" s="463" t="s">
        <v>1325</v>
      </c>
      <c r="D39" s="9"/>
      <c r="E39" s="9"/>
      <c r="F39" s="9"/>
      <c r="G39" s="9"/>
      <c r="H39" s="9"/>
      <c r="I39" s="464">
        <f t="shared" si="0"/>
        <v>0</v>
      </c>
    </row>
    <row r="40" spans="2:9" ht="18">
      <c r="B40" s="457" t="s">
        <v>45</v>
      </c>
      <c r="C40" s="460" t="s">
        <v>1326</v>
      </c>
      <c r="D40" s="469"/>
      <c r="E40" s="469"/>
      <c r="F40" s="469"/>
      <c r="G40" s="469"/>
      <c r="H40" s="469"/>
      <c r="I40" s="462"/>
    </row>
    <row r="41" spans="2:9" ht="18">
      <c r="B41" s="457" t="s">
        <v>53</v>
      </c>
      <c r="C41" s="463" t="s">
        <v>1324</v>
      </c>
      <c r="D41" s="9"/>
      <c r="E41" s="9"/>
      <c r="F41" s="9"/>
      <c r="G41" s="9"/>
      <c r="H41" s="9"/>
      <c r="I41" s="464">
        <f t="shared" si="0"/>
        <v>0</v>
      </c>
    </row>
    <row r="42" spans="2:9" ht="18">
      <c r="B42" s="457" t="s">
        <v>54</v>
      </c>
      <c r="C42" s="463" t="s">
        <v>1325</v>
      </c>
      <c r="D42" s="9"/>
      <c r="E42" s="9"/>
      <c r="F42" s="9"/>
      <c r="G42" s="9"/>
      <c r="H42" s="9"/>
      <c r="I42" s="464">
        <f t="shared" si="0"/>
        <v>0</v>
      </c>
    </row>
    <row r="43" spans="2:9" ht="18">
      <c r="B43" s="466" t="s">
        <v>1513</v>
      </c>
      <c r="C43" s="467" t="s">
        <v>1327</v>
      </c>
      <c r="D43" s="468"/>
      <c r="E43" s="468"/>
      <c r="F43" s="468"/>
      <c r="G43" s="468"/>
      <c r="H43" s="468"/>
      <c r="I43" s="464">
        <f>SUM(I31,I34,I38,I41)</f>
        <v>0</v>
      </c>
    </row>
  </sheetData>
  <sheetProtection password="E9D4" sheet="1"/>
  <customSheetViews>
    <customSheetView guid="{871F8275-217B-436F-8813-871F820F0EE4}" scale="85" showPageBreaks="1" showGridLines="0" view="pageBreakPreview" topLeftCell="A4">
      <selection activeCell="I43" activeCellId="1" sqref="I23 I43"/>
      <pageMargins left="0.39370078740157483" right="0.39370078740157483" top="0.31496062992125984" bottom="0.31496062992125984" header="0.19685039370078741" footer="0.19685039370078741"/>
      <pageSetup paperSize="9" scale="75" orientation="landscape" r:id="rId1"/>
      <headerFooter alignWithMargins="0">
        <oddFooter>&amp;L&amp;7&amp;D&amp;C&amp;7&amp;P&amp;R&amp;7&amp;F</oddFooter>
      </headerFooter>
    </customSheetView>
    <customSheetView guid="{2EBF18CB-80C9-43ED-A978-2AAEAC40933E}" scale="75" showGridLines="0" showRuler="0">
      <selection activeCell="E21" sqref="E21"/>
      <pageMargins left="0.39370078740157483" right="0.39370078740157483" top="0.31496062992125984" bottom="0.31496062992125984" header="0.19685039370078741" footer="0.19685039370078741"/>
      <pageSetup paperSize="9" scale="75" orientation="landscape" horizontalDpi="300" verticalDpi="300" r:id="rId2"/>
      <headerFooter alignWithMargins="0">
        <oddFooter>&amp;L&amp;7&amp;D&amp;C&amp;7&amp;P&amp;R&amp;7&amp;F</oddFooter>
      </headerFooter>
    </customSheetView>
    <customSheetView guid="{47D3AB49-9599-4A16-951B-F48FEC1C0136}" scale="75" showGridLines="0" topLeftCell="A19">
      <selection activeCell="D41" sqref="D41:H42"/>
      <pageMargins left="0.39370078740157483" right="0.39370078740157483" top="0.31496062992125984" bottom="0.31496062992125984" header="0.19685039370078741" footer="0.19685039370078741"/>
      <pageSetup paperSize="9" scale="75" orientation="landscape" horizontalDpi="300" verticalDpi="300" r:id="rId3"/>
      <headerFooter alignWithMargins="0">
        <oddFooter>&amp;L&amp;7&amp;D&amp;C&amp;7&amp;P&amp;R&amp;7&amp;F</oddFooter>
      </headerFooter>
    </customSheetView>
    <customSheetView guid="{ECE607A2-8A26-46E0-8BDC-E9AD788F604C}" scale="85" showPageBreaks="1" showGridLines="0" view="pageBreakPreview" topLeftCell="A13">
      <selection activeCell="I42" activeCellId="2" sqref="I32 I35 I42"/>
      <pageMargins left="0.39370078740157483" right="0.39370078740157483" top="0.31496062992125984" bottom="0.31496062992125984" header="0.19685039370078741" footer="0.19685039370078741"/>
      <pageSetup paperSize="9" scale="75" orientation="landscape" r:id="rId4"/>
      <headerFooter alignWithMargins="0">
        <oddFooter>&amp;L&amp;7&amp;D&amp;C&amp;7&amp;P&amp;R&amp;7&amp;F</oddFooter>
      </headerFooter>
    </customSheetView>
    <customSheetView guid="{FB1E0752-409C-4E7D-BCFE-7AEBEB8B5F0D}" scale="85" showPageBreaks="1" showGridLines="0" view="pageBreakPreview" topLeftCell="A4">
      <selection activeCell="I42" activeCellId="2" sqref="I32 I35 I42"/>
      <pageMargins left="0.39370078740157483" right="0.39370078740157483" top="0.31496062992125984" bottom="0.31496062992125984" header="0.19685039370078741" footer="0.19685039370078741"/>
      <pageSetup paperSize="9" scale="75" orientation="landscape" r:id="rId5"/>
      <headerFooter alignWithMargins="0">
        <oddFooter>&amp;L&amp;7&amp;D&amp;C&amp;7&amp;P&amp;R&amp;7&amp;F</oddFooter>
      </headerFooter>
    </customSheetView>
  </customSheetViews>
  <mergeCells count="11">
    <mergeCell ref="D7:H7"/>
    <mergeCell ref="H1:I2"/>
    <mergeCell ref="I6:I8"/>
    <mergeCell ref="I26:I28"/>
    <mergeCell ref="B6:B8"/>
    <mergeCell ref="B26:B28"/>
    <mergeCell ref="D6:H6"/>
    <mergeCell ref="C6:C8"/>
    <mergeCell ref="C26:C28"/>
    <mergeCell ref="D26:H26"/>
    <mergeCell ref="D27:H27"/>
  </mergeCells>
  <phoneticPr fontId="0" type="noConversion"/>
  <pageMargins left="0.39370078740157483" right="0.39370078740157483" top="0.31496062992125984" bottom="0.31496062992125984" header="0.19685039370078741" footer="0.19685039370078741"/>
  <pageSetup paperSize="9" scale="75" orientation="landscape" r:id="rId6"/>
  <headerFooter alignWithMargins="0">
    <oddFooter>&amp;L&amp;7&amp;D&amp;C&amp;7&amp;P&amp;R&amp;7&amp;F</oddFooter>
  </headerFooter>
</worksheet>
</file>

<file path=xl/worksheets/sheet29.xml><?xml version="1.0" encoding="utf-8"?>
<worksheet xmlns="http://schemas.openxmlformats.org/spreadsheetml/2006/main" xmlns:r="http://schemas.openxmlformats.org/officeDocument/2006/relationships">
  <sheetPr codeName="Лист30"/>
  <dimension ref="B1:I43"/>
  <sheetViews>
    <sheetView workbookViewId="0"/>
  </sheetViews>
  <sheetFormatPr defaultRowHeight="15"/>
  <cols>
    <col min="1" max="1" width="5.42578125" style="216" customWidth="1"/>
    <col min="2" max="2" width="11.85546875" style="216" customWidth="1"/>
    <col min="3" max="3" width="43.140625" style="216" customWidth="1"/>
    <col min="4" max="9" width="20.7109375" style="216" customWidth="1"/>
    <col min="10" max="16384" width="9.140625" style="216"/>
  </cols>
  <sheetData>
    <row r="1" spans="2:9" s="334" customFormat="1" ht="11.25" customHeight="1">
      <c r="B1" s="733"/>
      <c r="C1" s="734"/>
      <c r="D1" s="735"/>
      <c r="E1" s="736"/>
      <c r="F1" s="735"/>
      <c r="G1" s="734"/>
      <c r="H1" s="1189" t="s">
        <v>1870</v>
      </c>
      <c r="I1" s="1173"/>
    </row>
    <row r="2" spans="2:9" s="334" customFormat="1" ht="18">
      <c r="B2" s="733"/>
      <c r="C2" s="39" t="str">
        <f>T!E18</f>
        <v>Номгӯи ташкилоти қарзӣ</v>
      </c>
      <c r="D2" s="735"/>
      <c r="E2" s="736"/>
      <c r="F2" s="735"/>
      <c r="G2" s="734"/>
      <c r="H2" s="1173"/>
      <c r="I2" s="1173"/>
    </row>
    <row r="3" spans="2:9" s="334" customFormat="1" ht="18">
      <c r="B3" s="733"/>
      <c r="C3" s="737" t="str">
        <f>T!B10</f>
        <v>Ҳисобот дар санаи</v>
      </c>
      <c r="D3" s="738"/>
      <c r="E3" s="738"/>
      <c r="F3" s="738"/>
      <c r="G3" s="738"/>
      <c r="H3" s="734"/>
      <c r="I3" s="738"/>
    </row>
    <row r="4" spans="2:9" s="334" customFormat="1" ht="18">
      <c r="B4" s="733"/>
      <c r="C4" s="477" t="str">
        <f>'List of Scedules'!B28</f>
        <v>ҶАДВАЛИ 13.03. ТАСНИФИ АМОНАТҲО АЗ РӮИ МАБЛАҒ</v>
      </c>
      <c r="D4" s="738"/>
      <c r="E4" s="738"/>
      <c r="F4" s="738"/>
      <c r="G4" s="738"/>
      <c r="H4" s="734"/>
      <c r="I4" s="738"/>
    </row>
    <row r="5" spans="2:9" s="334" customFormat="1" ht="18">
      <c r="B5" s="733"/>
      <c r="C5" s="733"/>
      <c r="D5" s="733"/>
      <c r="E5" s="733"/>
      <c r="F5" s="733"/>
      <c r="G5" s="733"/>
      <c r="H5" s="733"/>
      <c r="I5" s="733"/>
    </row>
    <row r="6" spans="2:9" ht="18">
      <c r="B6" s="1234"/>
      <c r="C6" s="1236"/>
      <c r="D6" s="1236" t="s">
        <v>1115</v>
      </c>
      <c r="E6" s="1236"/>
      <c r="F6" s="1237"/>
      <c r="G6" s="1236"/>
      <c r="H6" s="1236"/>
      <c r="I6" s="1230" t="s">
        <v>1321</v>
      </c>
    </row>
    <row r="7" spans="2:9" ht="18">
      <c r="B7" s="1201"/>
      <c r="C7" s="1201"/>
      <c r="D7" s="1229" t="s">
        <v>1322</v>
      </c>
      <c r="E7" s="1229"/>
      <c r="F7" s="1229"/>
      <c r="G7" s="1229"/>
      <c r="H7" s="1229"/>
      <c r="I7" s="1231"/>
    </row>
    <row r="8" spans="2:9" ht="18">
      <c r="B8" s="1201"/>
      <c r="C8" s="1201"/>
      <c r="D8" s="470" t="s">
        <v>1774</v>
      </c>
      <c r="E8" s="470" t="s">
        <v>1775</v>
      </c>
      <c r="F8" s="470" t="s">
        <v>1776</v>
      </c>
      <c r="G8" s="470" t="s">
        <v>1777</v>
      </c>
      <c r="H8" s="470" t="s">
        <v>1778</v>
      </c>
      <c r="I8" s="1231"/>
    </row>
    <row r="9" spans="2:9" ht="18">
      <c r="B9" s="466" t="s">
        <v>940</v>
      </c>
      <c r="C9" s="458" t="s">
        <v>1773</v>
      </c>
      <c r="D9" s="471"/>
      <c r="E9" s="471"/>
      <c r="F9" s="471"/>
      <c r="G9" s="471"/>
      <c r="H9" s="471"/>
      <c r="I9" s="471"/>
    </row>
    <row r="10" spans="2:9" ht="18">
      <c r="B10" s="466" t="s">
        <v>941</v>
      </c>
      <c r="C10" s="460" t="s">
        <v>1323</v>
      </c>
      <c r="D10" s="373"/>
      <c r="E10" s="373"/>
      <c r="F10" s="373"/>
      <c r="G10" s="373"/>
      <c r="H10" s="373"/>
      <c r="I10" s="471"/>
    </row>
    <row r="11" spans="2:9" ht="18">
      <c r="B11" s="466" t="s">
        <v>942</v>
      </c>
      <c r="C11" s="463" t="s">
        <v>1324</v>
      </c>
      <c r="D11" s="9">
        <v>0</v>
      </c>
      <c r="E11" s="9">
        <v>0</v>
      </c>
      <c r="F11" s="9">
        <v>0</v>
      </c>
      <c r="G11" s="9">
        <v>0</v>
      </c>
      <c r="H11" s="9">
        <v>0</v>
      </c>
      <c r="I11" s="472">
        <f t="shared" ref="I11:I22" si="0">SUM(D11:H11)</f>
        <v>0</v>
      </c>
    </row>
    <row r="12" spans="2:9" ht="18">
      <c r="B12" s="466" t="s">
        <v>943</v>
      </c>
      <c r="C12" s="463" t="s">
        <v>1325</v>
      </c>
      <c r="D12" s="9">
        <v>0</v>
      </c>
      <c r="E12" s="9">
        <v>0</v>
      </c>
      <c r="F12" s="9">
        <v>0</v>
      </c>
      <c r="G12" s="9">
        <v>0</v>
      </c>
      <c r="H12" s="9">
        <v>0</v>
      </c>
      <c r="I12" s="472">
        <f t="shared" si="0"/>
        <v>0</v>
      </c>
    </row>
    <row r="13" spans="2:9" ht="18">
      <c r="B13" s="466" t="s">
        <v>944</v>
      </c>
      <c r="C13" s="460" t="s">
        <v>1326</v>
      </c>
      <c r="D13" s="468"/>
      <c r="E13" s="468"/>
      <c r="F13" s="468"/>
      <c r="G13" s="468"/>
      <c r="H13" s="468"/>
      <c r="I13" s="468"/>
    </row>
    <row r="14" spans="2:9" ht="18">
      <c r="B14" s="466" t="s">
        <v>945</v>
      </c>
      <c r="C14" s="463" t="s">
        <v>1324</v>
      </c>
      <c r="D14" s="9">
        <v>0</v>
      </c>
      <c r="E14" s="9">
        <v>0</v>
      </c>
      <c r="F14" s="9">
        <v>0</v>
      </c>
      <c r="G14" s="9">
        <v>0</v>
      </c>
      <c r="H14" s="9">
        <v>0</v>
      </c>
      <c r="I14" s="472">
        <f t="shared" si="0"/>
        <v>0</v>
      </c>
    </row>
    <row r="15" spans="2:9" ht="18">
      <c r="B15" s="466" t="s">
        <v>946</v>
      </c>
      <c r="C15" s="463" t="s">
        <v>1325</v>
      </c>
      <c r="D15" s="9">
        <v>0</v>
      </c>
      <c r="E15" s="9">
        <v>0</v>
      </c>
      <c r="F15" s="9">
        <v>0</v>
      </c>
      <c r="G15" s="9">
        <v>0</v>
      </c>
      <c r="H15" s="9">
        <v>0</v>
      </c>
      <c r="I15" s="472">
        <f t="shared" si="0"/>
        <v>0</v>
      </c>
    </row>
    <row r="16" spans="2:9" ht="18">
      <c r="B16" s="466" t="s">
        <v>1173</v>
      </c>
      <c r="C16" s="465" t="s">
        <v>1114</v>
      </c>
      <c r="D16" s="468"/>
      <c r="E16" s="468"/>
      <c r="F16" s="468"/>
      <c r="G16" s="468"/>
      <c r="H16" s="468"/>
      <c r="I16" s="468"/>
    </row>
    <row r="17" spans="2:9" ht="18">
      <c r="B17" s="466" t="s">
        <v>1174</v>
      </c>
      <c r="C17" s="460" t="s">
        <v>1323</v>
      </c>
      <c r="D17" s="373"/>
      <c r="E17" s="373"/>
      <c r="F17" s="373"/>
      <c r="G17" s="373"/>
      <c r="H17" s="373"/>
      <c r="I17" s="473"/>
    </row>
    <row r="18" spans="2:9" ht="18">
      <c r="B18" s="466" t="s">
        <v>1175</v>
      </c>
      <c r="C18" s="463" t="s">
        <v>1324</v>
      </c>
      <c r="D18" s="9"/>
      <c r="E18" s="9"/>
      <c r="F18" s="9"/>
      <c r="G18" s="9"/>
      <c r="H18" s="9"/>
      <c r="I18" s="472">
        <f>SUM(D18:H18)</f>
        <v>0</v>
      </c>
    </row>
    <row r="19" spans="2:9" ht="18">
      <c r="B19" s="466" t="s">
        <v>1176</v>
      </c>
      <c r="C19" s="463" t="s">
        <v>1325</v>
      </c>
      <c r="D19" s="9"/>
      <c r="E19" s="9"/>
      <c r="F19" s="9"/>
      <c r="G19" s="9"/>
      <c r="H19" s="9"/>
      <c r="I19" s="472">
        <f>SUM(D19:H19)</f>
        <v>0</v>
      </c>
    </row>
    <row r="20" spans="2:9" ht="18">
      <c r="B20" s="466" t="s">
        <v>1177</v>
      </c>
      <c r="C20" s="460" t="s">
        <v>1326</v>
      </c>
      <c r="D20" s="468"/>
      <c r="E20" s="468"/>
      <c r="F20" s="468"/>
      <c r="G20" s="468"/>
      <c r="H20" s="468"/>
      <c r="I20" s="468"/>
    </row>
    <row r="21" spans="2:9" ht="18">
      <c r="B21" s="466" t="s">
        <v>1178</v>
      </c>
      <c r="C21" s="463" t="s">
        <v>1324</v>
      </c>
      <c r="D21" s="80"/>
      <c r="E21" s="9"/>
      <c r="F21" s="9"/>
      <c r="G21" s="9"/>
      <c r="H21" s="9"/>
      <c r="I21" s="472">
        <f t="shared" si="0"/>
        <v>0</v>
      </c>
    </row>
    <row r="22" spans="2:9" ht="18">
      <c r="B22" s="466" t="s">
        <v>1179</v>
      </c>
      <c r="C22" s="463" t="s">
        <v>1325</v>
      </c>
      <c r="D22" s="80"/>
      <c r="E22" s="9"/>
      <c r="F22" s="9"/>
      <c r="G22" s="9"/>
      <c r="H22" s="9"/>
      <c r="I22" s="472">
        <f t="shared" si="0"/>
        <v>0</v>
      </c>
    </row>
    <row r="23" spans="2:9" ht="18">
      <c r="B23" s="466" t="s">
        <v>1511</v>
      </c>
      <c r="C23" s="467" t="s">
        <v>1327</v>
      </c>
      <c r="D23" s="468"/>
      <c r="E23" s="468"/>
      <c r="F23" s="468"/>
      <c r="G23" s="468"/>
      <c r="H23" s="468"/>
      <c r="I23" s="464">
        <f>SUM(I11,I14,I18,I21)</f>
        <v>0</v>
      </c>
    </row>
    <row r="24" spans="2:9" ht="9.75" customHeight="1">
      <c r="B24" s="474"/>
      <c r="C24" s="475"/>
      <c r="D24" s="475"/>
      <c r="E24" s="475"/>
      <c r="F24" s="475"/>
      <c r="G24" s="475"/>
      <c r="H24" s="475"/>
      <c r="I24" s="475"/>
    </row>
    <row r="25" spans="2:9" ht="9.75" customHeight="1">
      <c r="B25" s="476"/>
      <c r="C25" s="477"/>
      <c r="D25" s="478"/>
      <c r="E25" s="478"/>
      <c r="F25" s="478"/>
      <c r="G25" s="478"/>
      <c r="H25" s="478"/>
      <c r="I25" s="478"/>
    </row>
    <row r="26" spans="2:9" ht="18">
      <c r="B26" s="1234"/>
      <c r="C26" s="1235"/>
      <c r="D26" s="1236" t="s">
        <v>1115</v>
      </c>
      <c r="E26" s="1236"/>
      <c r="F26" s="1237"/>
      <c r="G26" s="1236"/>
      <c r="H26" s="1236"/>
      <c r="I26" s="1230" t="s">
        <v>1321</v>
      </c>
    </row>
    <row r="27" spans="2:9" ht="18">
      <c r="B27" s="1201"/>
      <c r="C27" s="1201"/>
      <c r="D27" s="1229" t="s">
        <v>1328</v>
      </c>
      <c r="E27" s="1233"/>
      <c r="F27" s="1233"/>
      <c r="G27" s="1233"/>
      <c r="H27" s="1233"/>
      <c r="I27" s="1231"/>
    </row>
    <row r="28" spans="2:9" ht="18">
      <c r="B28" s="1201"/>
      <c r="C28" s="1201"/>
      <c r="D28" s="470" t="s">
        <v>1774</v>
      </c>
      <c r="E28" s="470" t="s">
        <v>1775</v>
      </c>
      <c r="F28" s="470" t="s">
        <v>1776</v>
      </c>
      <c r="G28" s="470" t="s">
        <v>1777</v>
      </c>
      <c r="H28" s="470" t="s">
        <v>1778</v>
      </c>
      <c r="I28" s="1231"/>
    </row>
    <row r="29" spans="2:9" ht="18">
      <c r="B29" s="466" t="s">
        <v>1180</v>
      </c>
      <c r="C29" s="458" t="s">
        <v>1773</v>
      </c>
      <c r="D29" s="471"/>
      <c r="E29" s="471"/>
      <c r="F29" s="471"/>
      <c r="G29" s="471"/>
      <c r="H29" s="471"/>
      <c r="I29" s="471"/>
    </row>
    <row r="30" spans="2:9" ht="18">
      <c r="B30" s="466" t="s">
        <v>1181</v>
      </c>
      <c r="C30" s="460" t="s">
        <v>1323</v>
      </c>
      <c r="D30" s="468"/>
      <c r="E30" s="468"/>
      <c r="F30" s="468"/>
      <c r="G30" s="468"/>
      <c r="H30" s="468"/>
      <c r="I30" s="468"/>
    </row>
    <row r="31" spans="2:9" ht="18">
      <c r="B31" s="466" t="s">
        <v>1182</v>
      </c>
      <c r="C31" s="463" t="s">
        <v>1324</v>
      </c>
      <c r="D31" s="9">
        <v>0</v>
      </c>
      <c r="E31" s="9">
        <v>0</v>
      </c>
      <c r="F31" s="9">
        <v>0</v>
      </c>
      <c r="G31" s="9">
        <v>0</v>
      </c>
      <c r="H31" s="9">
        <v>0</v>
      </c>
      <c r="I31" s="472">
        <f>SUM(D31:H31)</f>
        <v>0</v>
      </c>
    </row>
    <row r="32" spans="2:9" ht="18">
      <c r="B32" s="466" t="s">
        <v>1183</v>
      </c>
      <c r="C32" s="463" t="s">
        <v>1325</v>
      </c>
      <c r="D32" s="9">
        <v>0</v>
      </c>
      <c r="E32" s="9">
        <v>0</v>
      </c>
      <c r="F32" s="9">
        <v>0</v>
      </c>
      <c r="G32" s="9">
        <v>0</v>
      </c>
      <c r="H32" s="9">
        <v>0</v>
      </c>
      <c r="I32" s="472">
        <f>SUM(D32:H32)</f>
        <v>0</v>
      </c>
    </row>
    <row r="33" spans="2:9" ht="18">
      <c r="B33" s="466" t="s">
        <v>1184</v>
      </c>
      <c r="C33" s="460" t="s">
        <v>1326</v>
      </c>
      <c r="D33" s="468"/>
      <c r="E33" s="468"/>
      <c r="F33" s="468"/>
      <c r="G33" s="468"/>
      <c r="H33" s="468"/>
      <c r="I33" s="468"/>
    </row>
    <row r="34" spans="2:9" ht="18">
      <c r="B34" s="466" t="s">
        <v>1185</v>
      </c>
      <c r="C34" s="463" t="s">
        <v>1324</v>
      </c>
      <c r="D34" s="9">
        <v>0</v>
      </c>
      <c r="E34" s="9">
        <v>0</v>
      </c>
      <c r="F34" s="9">
        <v>0</v>
      </c>
      <c r="G34" s="9">
        <v>0</v>
      </c>
      <c r="H34" s="9">
        <v>0</v>
      </c>
      <c r="I34" s="472">
        <f t="shared" ref="I34:I42" si="1">SUM(D34:H34)</f>
        <v>0</v>
      </c>
    </row>
    <row r="35" spans="2:9" ht="18">
      <c r="B35" s="466" t="s">
        <v>1186</v>
      </c>
      <c r="C35" s="463" t="s">
        <v>1325</v>
      </c>
      <c r="D35" s="9">
        <v>0</v>
      </c>
      <c r="E35" s="9">
        <v>0</v>
      </c>
      <c r="F35" s="9">
        <v>0</v>
      </c>
      <c r="G35" s="9">
        <v>0</v>
      </c>
      <c r="H35" s="9">
        <v>0</v>
      </c>
      <c r="I35" s="472">
        <f t="shared" si="1"/>
        <v>0</v>
      </c>
    </row>
    <row r="36" spans="2:9" ht="18">
      <c r="B36" s="466" t="s">
        <v>1187</v>
      </c>
      <c r="C36" s="465" t="s">
        <v>1114</v>
      </c>
      <c r="D36" s="468"/>
      <c r="E36" s="468"/>
      <c r="F36" s="468"/>
      <c r="G36" s="468"/>
      <c r="H36" s="468"/>
      <c r="I36" s="468"/>
    </row>
    <row r="37" spans="2:9" ht="18">
      <c r="B37" s="466" t="s">
        <v>1188</v>
      </c>
      <c r="C37" s="460" t="s">
        <v>1323</v>
      </c>
      <c r="D37" s="479"/>
      <c r="E37" s="479"/>
      <c r="F37" s="479"/>
      <c r="G37" s="479"/>
      <c r="H37" s="479"/>
      <c r="I37" s="468"/>
    </row>
    <row r="38" spans="2:9" ht="18">
      <c r="B38" s="466" t="s">
        <v>1189</v>
      </c>
      <c r="C38" s="463" t="s">
        <v>1324</v>
      </c>
      <c r="D38" s="9"/>
      <c r="E38" s="9"/>
      <c r="F38" s="9"/>
      <c r="G38" s="9"/>
      <c r="H38" s="9"/>
      <c r="I38" s="472">
        <f t="shared" si="1"/>
        <v>0</v>
      </c>
    </row>
    <row r="39" spans="2:9" ht="18">
      <c r="B39" s="466" t="s">
        <v>1190</v>
      </c>
      <c r="C39" s="463" t="s">
        <v>1325</v>
      </c>
      <c r="D39" s="9"/>
      <c r="E39" s="9"/>
      <c r="F39" s="9"/>
      <c r="G39" s="9"/>
      <c r="H39" s="9"/>
      <c r="I39" s="472">
        <f t="shared" si="1"/>
        <v>0</v>
      </c>
    </row>
    <row r="40" spans="2:9" ht="18">
      <c r="B40" s="466" t="s">
        <v>1191</v>
      </c>
      <c r="C40" s="460" t="s">
        <v>1326</v>
      </c>
      <c r="D40" s="479"/>
      <c r="E40" s="479"/>
      <c r="F40" s="479"/>
      <c r="G40" s="479"/>
      <c r="H40" s="479"/>
      <c r="I40" s="468"/>
    </row>
    <row r="41" spans="2:9" ht="18">
      <c r="B41" s="466" t="s">
        <v>1192</v>
      </c>
      <c r="C41" s="463" t="s">
        <v>1324</v>
      </c>
      <c r="D41" s="9"/>
      <c r="E41" s="9"/>
      <c r="F41" s="9"/>
      <c r="G41" s="9"/>
      <c r="H41" s="9"/>
      <c r="I41" s="472">
        <f t="shared" si="1"/>
        <v>0</v>
      </c>
    </row>
    <row r="42" spans="2:9" ht="18">
      <c r="B42" s="466" t="s">
        <v>1515</v>
      </c>
      <c r="C42" s="463" t="s">
        <v>1325</v>
      </c>
      <c r="D42" s="9"/>
      <c r="E42" s="9"/>
      <c r="F42" s="9"/>
      <c r="G42" s="9"/>
      <c r="H42" s="9"/>
      <c r="I42" s="472">
        <f t="shared" si="1"/>
        <v>0</v>
      </c>
    </row>
    <row r="43" spans="2:9" ht="18">
      <c r="B43" s="466" t="s">
        <v>1514</v>
      </c>
      <c r="C43" s="467" t="s">
        <v>1327</v>
      </c>
      <c r="D43" s="468"/>
      <c r="E43" s="468"/>
      <c r="F43" s="468"/>
      <c r="G43" s="468"/>
      <c r="H43" s="468"/>
      <c r="I43" s="464">
        <f>SUM(I31,I34,I38,I41)</f>
        <v>0</v>
      </c>
    </row>
  </sheetData>
  <sheetProtection password="E9D4" sheet="1"/>
  <customSheetViews>
    <customSheetView guid="{871F8275-217B-436F-8813-871F820F0EE4}" scale="85" showPageBreaks="1" showGridLines="0" view="pageBreakPreview" topLeftCell="A10">
      <selection activeCell="I43" activeCellId="1" sqref="I23 I43"/>
      <pageMargins left="0.39370078740157483" right="0.39370078740157483" top="0.31496062992125984" bottom="0.31496062992125984" header="0.19685039370078741" footer="0.19685039370078741"/>
      <pageSetup paperSize="9" scale="75" orientation="landscape" r:id="rId1"/>
      <headerFooter alignWithMargins="0">
        <oddFooter>&amp;L&amp;7&amp;D&amp;C&amp;7&amp;P&amp;R&amp;7&amp;F</oddFooter>
      </headerFooter>
    </customSheetView>
    <customSheetView guid="{2EBF18CB-80C9-43ED-A978-2AAEAC40933E}" scale="75" showGridLines="0" showRuler="0">
      <selection activeCell="F18" sqref="F18"/>
      <pageMargins left="0.39370078740157483" right="0.39370078740157483" top="0.31496062992125984" bottom="0.31496062992125984" header="0.19685039370078741" footer="0.19685039370078741"/>
      <pageSetup paperSize="9" scale="75" orientation="landscape" horizontalDpi="300" verticalDpi="300" r:id="rId2"/>
      <headerFooter alignWithMargins="0">
        <oddFooter>&amp;L&amp;7&amp;D&amp;C&amp;7&amp;P&amp;R&amp;7&amp;F</oddFooter>
      </headerFooter>
    </customSheetView>
    <customSheetView guid="{47D3AB49-9599-4A16-951B-F48FEC1C0136}" scale="75" showGridLines="0" topLeftCell="A16">
      <selection activeCell="D41" sqref="D41:F42"/>
      <pageMargins left="0.39370078740157483" right="0.39370078740157483" top="0.31496062992125984" bottom="0.31496062992125984" header="0.19685039370078741" footer="0.19685039370078741"/>
      <pageSetup paperSize="9" scale="75" orientation="landscape" horizontalDpi="300" verticalDpi="300" r:id="rId3"/>
      <headerFooter alignWithMargins="0">
        <oddFooter>&amp;L&amp;7&amp;D&amp;C&amp;7&amp;P&amp;R&amp;7&amp;F</oddFooter>
      </headerFooter>
    </customSheetView>
    <customSheetView guid="{ECE607A2-8A26-46E0-8BDC-E9AD788F604C}" scale="85" showPageBreaks="1" showGridLines="0" view="pageBreakPreview" topLeftCell="A4">
      <selection activeCell="I42" activeCellId="7" sqref="I12 I15 I19 I22 I32 I35 I39 I42"/>
      <pageMargins left="0.39370078740157483" right="0.39370078740157483" top="0.31496062992125984" bottom="0.31496062992125984" header="0.19685039370078741" footer="0.19685039370078741"/>
      <pageSetup paperSize="9" scale="75" orientation="landscape" r:id="rId4"/>
      <headerFooter alignWithMargins="0">
        <oddFooter>&amp;L&amp;7&amp;D&amp;C&amp;7&amp;P&amp;R&amp;7&amp;F</oddFooter>
      </headerFooter>
    </customSheetView>
    <customSheetView guid="{FB1E0752-409C-4E7D-BCFE-7AEBEB8B5F0D}" scale="85" showPageBreaks="1" showGridLines="0" view="pageBreakPreview" topLeftCell="A7">
      <selection activeCell="F40" sqref="F40"/>
      <pageMargins left="0.39370078740157483" right="0.39370078740157483" top="0.31496062992125984" bottom="0.31496062992125984" header="0.19685039370078741" footer="0.19685039370078741"/>
      <pageSetup paperSize="9" scale="75" orientation="landscape" r:id="rId5"/>
      <headerFooter alignWithMargins="0">
        <oddFooter>&amp;L&amp;7&amp;D&amp;C&amp;7&amp;P&amp;R&amp;7&amp;F</oddFooter>
      </headerFooter>
    </customSheetView>
  </customSheetViews>
  <mergeCells count="11">
    <mergeCell ref="D7:H7"/>
    <mergeCell ref="H1:I2"/>
    <mergeCell ref="I6:I8"/>
    <mergeCell ref="I26:I28"/>
    <mergeCell ref="B6:B8"/>
    <mergeCell ref="B26:B28"/>
    <mergeCell ref="C26:C28"/>
    <mergeCell ref="D26:H26"/>
    <mergeCell ref="C6:C8"/>
    <mergeCell ref="D6:H6"/>
    <mergeCell ref="D27:H27"/>
  </mergeCells>
  <phoneticPr fontId="0" type="noConversion"/>
  <pageMargins left="0.39370078740157483" right="0.39370078740157483" top="0.31496062992125984" bottom="0.31496062992125984" header="0.19685039370078741" footer="0.19685039370078741"/>
  <pageSetup paperSize="9" scale="75" orientation="landscape" r:id="rId6"/>
  <headerFooter alignWithMargins="0">
    <oddFooter>&amp;L&amp;7&amp;D&amp;C&amp;7&amp;P&amp;R&amp;7&amp;F</oddFooter>
  </headerFooter>
</worksheet>
</file>

<file path=xl/worksheets/sheet3.xml><?xml version="1.0" encoding="utf-8"?>
<worksheet xmlns="http://schemas.openxmlformats.org/spreadsheetml/2006/main" xmlns:r="http://schemas.openxmlformats.org/officeDocument/2006/relationships">
  <sheetPr codeName="Лист2">
    <pageSetUpPr fitToPage="1"/>
  </sheetPr>
  <dimension ref="A1:L60"/>
  <sheetViews>
    <sheetView workbookViewId="0"/>
  </sheetViews>
  <sheetFormatPr defaultColWidth="9.28515625" defaultRowHeight="18"/>
  <cols>
    <col min="1" max="1" width="1.7109375" style="24" customWidth="1"/>
    <col min="2" max="2" width="3.5703125" style="24" customWidth="1"/>
    <col min="3" max="3" width="44.42578125" style="24" customWidth="1"/>
    <col min="4" max="4" width="4.7109375" style="24" customWidth="1"/>
    <col min="5" max="5" width="28.28515625" style="24" customWidth="1"/>
    <col min="6" max="6" width="4.28515625" style="24" customWidth="1"/>
    <col min="7" max="7" width="20.28515625" style="24" customWidth="1"/>
    <col min="8" max="8" width="5.28515625" style="24" customWidth="1"/>
    <col min="9" max="9" width="20.85546875" style="24" customWidth="1"/>
    <col min="10" max="10" width="2.28515625" style="24" customWidth="1"/>
    <col min="11" max="11" width="15.5703125" style="24" customWidth="1"/>
    <col min="12" max="12" width="3" style="24" customWidth="1"/>
    <col min="13" max="16" width="9.28515625" style="24" customWidth="1"/>
    <col min="17" max="17" width="13.7109375" style="24" customWidth="1"/>
    <col min="18" max="16384" width="9.28515625" style="24"/>
  </cols>
  <sheetData>
    <row r="1" spans="1:12" ht="29.25" customHeight="1">
      <c r="B1" s="35"/>
      <c r="C1" s="56"/>
      <c r="D1" s="26"/>
      <c r="E1" s="26"/>
      <c r="F1" s="26"/>
      <c r="G1" s="26"/>
      <c r="H1" s="26"/>
      <c r="I1" s="1167" t="s">
        <v>1847</v>
      </c>
      <c r="J1" s="1168"/>
      <c r="K1" s="1168"/>
      <c r="L1" s="1168"/>
    </row>
    <row r="2" spans="1:12">
      <c r="B2" s="39"/>
      <c r="C2" s="25"/>
      <c r="E2" s="25"/>
      <c r="F2" s="26"/>
      <c r="G2" s="26"/>
      <c r="H2" s="26"/>
      <c r="I2" s="39"/>
      <c r="J2" s="26"/>
      <c r="K2" s="37"/>
      <c r="L2" s="38"/>
    </row>
    <row r="3" spans="1:12">
      <c r="A3" s="1169" t="s">
        <v>1879</v>
      </c>
      <c r="B3" s="1170"/>
      <c r="C3" s="1170"/>
      <c r="D3" s="1170"/>
      <c r="E3" s="1170"/>
      <c r="F3" s="1170"/>
      <c r="G3" s="1170"/>
      <c r="H3" s="1170"/>
      <c r="I3" s="1170"/>
      <c r="J3" s="1170"/>
      <c r="K3" s="1170"/>
      <c r="L3" s="1170"/>
    </row>
    <row r="4" spans="1:12">
      <c r="A4" s="40"/>
      <c r="B4" s="843"/>
      <c r="C4" s="843"/>
      <c r="D4" s="843"/>
      <c r="E4" s="843"/>
      <c r="F4" s="843"/>
      <c r="G4" s="843"/>
      <c r="H4" s="843"/>
      <c r="I4" s="843"/>
      <c r="J4" s="843"/>
      <c r="K4" s="843"/>
      <c r="L4" s="843"/>
    </row>
    <row r="5" spans="1:12">
      <c r="B5" s="26"/>
      <c r="C5" s="44"/>
      <c r="D5" s="25" t="str">
        <f>T!B10</f>
        <v>Ҳисобот дар санаи</v>
      </c>
      <c r="E5" s="40"/>
      <c r="F5" s="40"/>
      <c r="G5" s="26"/>
      <c r="H5" s="26"/>
      <c r="I5" s="1166"/>
      <c r="J5" s="1166"/>
      <c r="K5" s="1166"/>
      <c r="L5" s="38"/>
    </row>
    <row r="7" spans="1:12" ht="45" customHeight="1">
      <c r="B7" s="40"/>
      <c r="C7" s="40"/>
      <c r="D7" s="40"/>
      <c r="E7" s="41" t="s">
        <v>1653</v>
      </c>
      <c r="F7" s="40"/>
      <c r="G7" s="40"/>
      <c r="H7" s="40"/>
      <c r="I7" s="40"/>
      <c r="J7" s="40"/>
      <c r="K7" s="40"/>
      <c r="L7" s="42"/>
    </row>
    <row r="8" spans="1:12">
      <c r="B8" s="40"/>
      <c r="C8" s="40"/>
      <c r="D8" s="40"/>
      <c r="E8" s="40"/>
      <c r="F8" s="40"/>
      <c r="G8" s="40"/>
      <c r="H8" s="40"/>
      <c r="I8" s="40"/>
      <c r="J8" s="40"/>
      <c r="K8" s="40"/>
      <c r="L8" s="42"/>
    </row>
    <row r="9" spans="1:12">
      <c r="B9" s="26"/>
      <c r="C9" s="25" t="s">
        <v>993</v>
      </c>
      <c r="D9" s="25"/>
      <c r="E9" s="25" t="s">
        <v>965</v>
      </c>
      <c r="F9" s="25"/>
      <c r="G9" s="25" t="s">
        <v>994</v>
      </c>
      <c r="H9" s="25"/>
      <c r="I9" s="25" t="s">
        <v>995</v>
      </c>
      <c r="J9" s="25"/>
      <c r="K9" s="25" t="s">
        <v>992</v>
      </c>
      <c r="L9" s="38"/>
    </row>
    <row r="10" spans="1:12">
      <c r="B10" s="26"/>
      <c r="C10" s="26"/>
      <c r="D10" s="26"/>
      <c r="E10" s="26"/>
      <c r="F10" s="26"/>
      <c r="G10" s="26"/>
      <c r="H10" s="26"/>
      <c r="I10" s="26"/>
      <c r="J10" s="26"/>
      <c r="K10" s="26"/>
      <c r="L10" s="38"/>
    </row>
    <row r="11" spans="1:12">
      <c r="B11" s="27">
        <v>1</v>
      </c>
      <c r="C11" s="770"/>
      <c r="D11" s="29"/>
      <c r="E11" s="785"/>
      <c r="F11" s="28"/>
      <c r="G11" s="28"/>
      <c r="H11" s="29"/>
      <c r="I11" s="28"/>
      <c r="J11" s="29"/>
      <c r="K11" s="28"/>
      <c r="L11" s="43"/>
    </row>
    <row r="12" spans="1:12">
      <c r="B12" s="27"/>
      <c r="C12" s="45"/>
      <c r="D12" s="29"/>
      <c r="E12" s="793"/>
      <c r="F12" s="29"/>
      <c r="G12" s="29"/>
      <c r="H12" s="29"/>
      <c r="I12" s="29"/>
      <c r="J12" s="29"/>
      <c r="K12" s="29"/>
      <c r="L12" s="43"/>
    </row>
    <row r="13" spans="1:12" ht="30" customHeight="1">
      <c r="B13" s="27">
        <v>2</v>
      </c>
      <c r="C13" s="770"/>
      <c r="D13" s="29"/>
      <c r="E13" s="785"/>
      <c r="F13" s="28"/>
      <c r="G13" s="28"/>
      <c r="H13" s="29"/>
      <c r="I13" s="28"/>
      <c r="J13" s="29"/>
      <c r="K13" s="28"/>
      <c r="L13" s="42"/>
    </row>
    <row r="14" spans="1:12">
      <c r="B14" s="40"/>
      <c r="C14" s="794"/>
      <c r="D14" s="40"/>
      <c r="E14" s="795"/>
      <c r="F14" s="40"/>
      <c r="G14" s="40"/>
      <c r="H14" s="40"/>
      <c r="I14" s="40"/>
      <c r="J14" s="40"/>
      <c r="K14" s="40"/>
      <c r="L14" s="42"/>
    </row>
    <row r="15" spans="1:12" ht="29.25" customHeight="1">
      <c r="B15" s="27">
        <v>3</v>
      </c>
      <c r="C15" s="770"/>
      <c r="D15" s="29"/>
      <c r="E15" s="785"/>
      <c r="F15" s="28"/>
      <c r="G15" s="28"/>
      <c r="H15" s="29"/>
      <c r="I15" s="28"/>
      <c r="J15" s="29"/>
      <c r="K15" s="28"/>
      <c r="L15" s="42"/>
    </row>
    <row r="16" spans="1:12">
      <c r="B16" s="40"/>
      <c r="C16" s="794"/>
      <c r="D16" s="40"/>
      <c r="E16" s="795"/>
      <c r="F16" s="40"/>
      <c r="G16" s="40"/>
      <c r="H16" s="40"/>
      <c r="I16" s="40"/>
      <c r="J16" s="40"/>
      <c r="K16" s="40"/>
      <c r="L16" s="42"/>
    </row>
    <row r="17" spans="2:12" ht="27" customHeight="1">
      <c r="B17" s="27">
        <v>4</v>
      </c>
      <c r="C17" s="770"/>
      <c r="D17" s="29"/>
      <c r="E17" s="785"/>
      <c r="F17" s="28"/>
      <c r="G17" s="28"/>
      <c r="H17" s="29"/>
      <c r="I17" s="28"/>
      <c r="J17" s="29"/>
      <c r="K17" s="28"/>
      <c r="L17" s="42"/>
    </row>
    <row r="18" spans="2:12">
      <c r="B18" s="40"/>
      <c r="C18" s="794"/>
      <c r="D18" s="40"/>
      <c r="E18" s="795"/>
      <c r="F18" s="40"/>
      <c r="G18" s="40"/>
      <c r="H18" s="40"/>
      <c r="I18" s="40"/>
      <c r="J18" s="40"/>
      <c r="K18" s="40"/>
      <c r="L18" s="42"/>
    </row>
    <row r="19" spans="2:12" ht="24.75" customHeight="1">
      <c r="B19" s="27">
        <v>5</v>
      </c>
      <c r="C19" s="770"/>
      <c r="D19" s="29"/>
      <c r="E19" s="785"/>
      <c r="F19" s="28"/>
      <c r="G19" s="28"/>
      <c r="H19" s="29"/>
      <c r="I19" s="28"/>
      <c r="J19" s="29"/>
      <c r="K19" s="28"/>
      <c r="L19" s="42"/>
    </row>
    <row r="20" spans="2:12">
      <c r="B20" s="40"/>
      <c r="C20" s="794"/>
      <c r="D20" s="40"/>
      <c r="E20" s="795"/>
      <c r="F20" s="40"/>
      <c r="G20" s="40"/>
      <c r="H20" s="40"/>
      <c r="I20" s="40"/>
      <c r="J20" s="40"/>
      <c r="K20" s="40"/>
      <c r="L20" s="42"/>
    </row>
    <row r="21" spans="2:12">
      <c r="B21" s="27">
        <v>6</v>
      </c>
      <c r="C21" s="770"/>
      <c r="D21" s="29"/>
      <c r="E21" s="785"/>
      <c r="F21" s="28"/>
      <c r="G21" s="28"/>
      <c r="H21" s="29"/>
      <c r="I21" s="28"/>
      <c r="J21" s="29"/>
      <c r="K21" s="28"/>
      <c r="L21" s="42"/>
    </row>
    <row r="22" spans="2:12">
      <c r="B22" s="40"/>
      <c r="C22" s="794"/>
      <c r="D22" s="40"/>
      <c r="E22" s="795"/>
      <c r="F22" s="40"/>
      <c r="G22" s="40"/>
      <c r="H22" s="40"/>
      <c r="I22" s="40"/>
      <c r="J22" s="40"/>
      <c r="K22" s="40"/>
      <c r="L22" s="42"/>
    </row>
    <row r="23" spans="2:12">
      <c r="B23" s="27">
        <v>7</v>
      </c>
      <c r="C23" s="770"/>
      <c r="D23" s="29"/>
      <c r="E23" s="785"/>
      <c r="F23" s="28"/>
      <c r="G23" s="28"/>
      <c r="H23" s="29"/>
      <c r="I23" s="28"/>
      <c r="J23" s="29"/>
      <c r="K23" s="28"/>
      <c r="L23" s="42"/>
    </row>
    <row r="24" spans="2:12">
      <c r="B24" s="40"/>
      <c r="C24" s="40"/>
      <c r="D24" s="40"/>
      <c r="E24" s="40"/>
      <c r="F24" s="40"/>
      <c r="G24" s="40"/>
      <c r="H24" s="40"/>
      <c r="I24" s="40"/>
      <c r="J24" s="40"/>
      <c r="K24" s="40"/>
      <c r="L24" s="42"/>
    </row>
    <row r="25" spans="2:12">
      <c r="B25" s="27">
        <v>8</v>
      </c>
      <c r="C25" s="917"/>
      <c r="D25" s="29"/>
      <c r="E25" s="785"/>
      <c r="F25" s="28"/>
      <c r="G25" s="28"/>
      <c r="H25" s="29"/>
      <c r="I25" s="28"/>
      <c r="J25" s="29"/>
      <c r="K25" s="28"/>
      <c r="L25" s="42"/>
    </row>
    <row r="26" spans="2:12">
      <c r="B26" s="40"/>
      <c r="C26" s="40"/>
      <c r="D26" s="40"/>
      <c r="E26" s="40"/>
      <c r="F26" s="40"/>
      <c r="G26" s="40"/>
      <c r="H26" s="40"/>
      <c r="I26" s="40"/>
      <c r="J26" s="40"/>
      <c r="K26" s="40"/>
      <c r="L26" s="42"/>
    </row>
    <row r="27" spans="2:12">
      <c r="B27" s="27">
        <v>9</v>
      </c>
      <c r="C27" s="28"/>
      <c r="D27" s="29"/>
      <c r="E27" s="28"/>
      <c r="F27" s="28"/>
      <c r="G27" s="28"/>
      <c r="H27" s="29"/>
      <c r="I27" s="28"/>
      <c r="J27" s="29"/>
      <c r="K27" s="28"/>
      <c r="L27" s="42"/>
    </row>
    <row r="28" spans="2:12">
      <c r="B28" s="40"/>
      <c r="C28" s="40"/>
      <c r="D28" s="40"/>
      <c r="E28" s="40"/>
      <c r="F28" s="40"/>
      <c r="G28" s="40"/>
      <c r="H28" s="40"/>
      <c r="I28" s="40"/>
      <c r="J28" s="40"/>
      <c r="K28" s="40"/>
      <c r="L28" s="42"/>
    </row>
    <row r="29" spans="2:12">
      <c r="B29" s="27">
        <v>10</v>
      </c>
      <c r="C29" s="28"/>
      <c r="D29" s="29"/>
      <c r="E29" s="28"/>
      <c r="F29" s="28"/>
      <c r="G29" s="28"/>
      <c r="H29" s="29"/>
      <c r="I29" s="28"/>
      <c r="J29" s="29"/>
      <c r="K29" s="28"/>
      <c r="L29" s="42"/>
    </row>
    <row r="30" spans="2:12">
      <c r="B30" s="40"/>
      <c r="C30" s="40"/>
      <c r="D30" s="40"/>
      <c r="E30" s="40"/>
      <c r="F30" s="40"/>
      <c r="G30" s="40"/>
      <c r="H30" s="40"/>
      <c r="I30" s="40"/>
      <c r="J30" s="40"/>
      <c r="K30" s="40"/>
      <c r="L30" s="42"/>
    </row>
    <row r="31" spans="2:12">
      <c r="B31" s="40"/>
      <c r="C31" s="40"/>
      <c r="D31" s="40"/>
      <c r="E31" s="40"/>
      <c r="F31" s="40"/>
      <c r="G31" s="40"/>
      <c r="H31" s="40"/>
      <c r="I31" s="40"/>
      <c r="J31" s="40"/>
      <c r="K31" s="40"/>
      <c r="L31" s="42"/>
    </row>
    <row r="32" spans="2:12" ht="21">
      <c r="B32" s="40"/>
      <c r="C32" s="40"/>
      <c r="D32" s="40"/>
      <c r="E32" s="41" t="s">
        <v>964</v>
      </c>
      <c r="I32" s="40"/>
      <c r="J32" s="40"/>
      <c r="K32" s="40"/>
      <c r="L32" s="42"/>
    </row>
    <row r="33" spans="2:12">
      <c r="B33" s="40"/>
      <c r="C33" s="40"/>
      <c r="D33" s="40"/>
      <c r="E33" s="40"/>
      <c r="F33" s="40"/>
      <c r="G33" s="40"/>
      <c r="H33" s="40"/>
      <c r="I33" s="40"/>
      <c r="J33" s="40"/>
      <c r="K33" s="40"/>
      <c r="L33" s="42"/>
    </row>
    <row r="34" spans="2:12">
      <c r="B34" s="26"/>
      <c r="C34" s="25" t="s">
        <v>993</v>
      </c>
      <c r="D34" s="25"/>
      <c r="E34" s="25" t="s">
        <v>965</v>
      </c>
      <c r="F34" s="25"/>
      <c r="G34" s="25" t="s">
        <v>994</v>
      </c>
      <c r="H34" s="25"/>
      <c r="I34" s="25" t="s">
        <v>995</v>
      </c>
      <c r="J34" s="25"/>
      <c r="K34" s="25" t="s">
        <v>992</v>
      </c>
      <c r="L34" s="38"/>
    </row>
    <row r="35" spans="2:12">
      <c r="B35" s="27"/>
      <c r="C35" s="45"/>
      <c r="D35" s="45"/>
      <c r="E35" s="34"/>
      <c r="F35" s="34"/>
      <c r="G35" s="34"/>
      <c r="H35" s="26"/>
      <c r="I35" s="29"/>
      <c r="J35" s="26"/>
      <c r="K35" s="29"/>
      <c r="L35" s="43"/>
    </row>
    <row r="36" spans="2:12" ht="24" customHeight="1">
      <c r="B36" s="27">
        <v>1</v>
      </c>
      <c r="C36" s="783"/>
      <c r="D36" s="29"/>
      <c r="E36" s="783"/>
      <c r="F36" s="28"/>
      <c r="G36" s="28"/>
      <c r="H36" s="29"/>
      <c r="I36" s="783"/>
      <c r="J36" s="29"/>
      <c r="K36" s="28"/>
      <c r="L36" s="43"/>
    </row>
    <row r="37" spans="2:12">
      <c r="B37" s="27"/>
      <c r="C37" s="784"/>
      <c r="D37" s="29"/>
      <c r="E37" s="784"/>
      <c r="F37" s="29"/>
      <c r="G37" s="29"/>
      <c r="H37" s="29"/>
      <c r="I37" s="784"/>
      <c r="J37" s="29"/>
      <c r="K37" s="29"/>
      <c r="L37" s="43"/>
    </row>
    <row r="38" spans="2:12" ht="32.25" customHeight="1">
      <c r="B38" s="27">
        <v>2</v>
      </c>
      <c r="C38" s="783"/>
      <c r="D38" s="29"/>
      <c r="E38" s="783"/>
      <c r="F38" s="28"/>
      <c r="G38" s="28"/>
      <c r="H38" s="29"/>
      <c r="I38" s="783"/>
      <c r="J38" s="29"/>
      <c r="K38" s="28"/>
      <c r="L38" s="38"/>
    </row>
    <row r="39" spans="2:12">
      <c r="B39" s="40"/>
      <c r="C39" s="795"/>
      <c r="D39" s="40"/>
      <c r="E39" s="795"/>
      <c r="F39" s="40"/>
      <c r="G39" s="40"/>
      <c r="H39" s="40"/>
      <c r="I39" s="795"/>
      <c r="J39" s="40"/>
      <c r="K39" s="40"/>
      <c r="L39" s="38"/>
    </row>
    <row r="40" spans="2:12" ht="27.75" customHeight="1">
      <c r="B40" s="27">
        <v>3</v>
      </c>
      <c r="C40" s="783"/>
      <c r="D40" s="29"/>
      <c r="E40" s="783"/>
      <c r="F40" s="28"/>
      <c r="G40" s="28"/>
      <c r="H40" s="29"/>
      <c r="I40" s="783"/>
      <c r="J40" s="29"/>
      <c r="K40" s="28"/>
      <c r="L40" s="38"/>
    </row>
    <row r="41" spans="2:12">
      <c r="B41" s="40"/>
      <c r="C41" s="795"/>
      <c r="D41" s="40"/>
      <c r="E41" s="795"/>
      <c r="F41" s="40"/>
      <c r="G41" s="40"/>
      <c r="H41" s="40"/>
      <c r="I41" s="795"/>
      <c r="J41" s="40"/>
      <c r="K41" s="40"/>
    </row>
    <row r="42" spans="2:12" ht="24.75" customHeight="1">
      <c r="B42" s="27">
        <v>4</v>
      </c>
      <c r="C42" s="783"/>
      <c r="D42" s="29"/>
      <c r="E42" s="783"/>
      <c r="F42" s="28"/>
      <c r="G42" s="28"/>
      <c r="H42" s="29"/>
      <c r="I42" s="783"/>
      <c r="J42" s="29"/>
      <c r="K42" s="28"/>
    </row>
    <row r="43" spans="2:12">
      <c r="B43" s="40"/>
      <c r="C43" s="795"/>
      <c r="D43" s="40"/>
      <c r="E43" s="795"/>
      <c r="F43" s="40"/>
      <c r="G43" s="40"/>
      <c r="H43" s="40"/>
      <c r="I43" s="795"/>
      <c r="J43" s="40"/>
      <c r="K43" s="40"/>
    </row>
    <row r="44" spans="2:12" ht="29.25" customHeight="1">
      <c r="B44" s="27">
        <v>5</v>
      </c>
      <c r="C44" s="783"/>
      <c r="D44" s="29"/>
      <c r="E44" s="783"/>
      <c r="F44" s="28"/>
      <c r="G44" s="28"/>
      <c r="H44" s="29"/>
      <c r="I44" s="783"/>
      <c r="J44" s="29"/>
      <c r="K44" s="28"/>
    </row>
    <row r="45" spans="2:12">
      <c r="B45" s="40"/>
      <c r="C45" s="795"/>
      <c r="D45" s="40"/>
      <c r="E45" s="795"/>
      <c r="F45" s="40"/>
      <c r="G45" s="40"/>
      <c r="H45" s="40"/>
      <c r="I45" s="795"/>
      <c r="J45" s="40"/>
      <c r="K45" s="40"/>
    </row>
    <row r="46" spans="2:12" ht="27.75" customHeight="1">
      <c r="B46" s="27">
        <v>6</v>
      </c>
      <c r="C46" s="783"/>
      <c r="D46" s="29"/>
      <c r="E46" s="783"/>
      <c r="F46" s="28"/>
      <c r="G46" s="28"/>
      <c r="H46" s="29"/>
      <c r="I46" s="783"/>
      <c r="J46" s="29"/>
      <c r="K46" s="28"/>
    </row>
    <row r="47" spans="2:12">
      <c r="B47" s="40"/>
      <c r="C47" s="40"/>
      <c r="D47" s="40"/>
      <c r="E47" s="40"/>
      <c r="F47" s="40"/>
      <c r="G47" s="40"/>
      <c r="H47" s="40"/>
      <c r="I47" s="40"/>
      <c r="J47" s="40"/>
      <c r="K47" s="40"/>
    </row>
    <row r="48" spans="2:12">
      <c r="B48" s="27">
        <v>7</v>
      </c>
      <c r="C48" s="28"/>
      <c r="D48" s="29"/>
      <c r="E48" s="28"/>
      <c r="F48" s="28"/>
      <c r="G48" s="28"/>
      <c r="H48" s="29"/>
      <c r="I48" s="28"/>
      <c r="J48" s="29"/>
      <c r="K48" s="28"/>
    </row>
    <row r="49" spans="2:11">
      <c r="B49" s="40"/>
      <c r="C49" s="40"/>
      <c r="D49" s="40"/>
      <c r="E49" s="40"/>
      <c r="F49" s="40"/>
      <c r="G49" s="40"/>
      <c r="H49" s="40"/>
      <c r="I49" s="40"/>
      <c r="J49" s="40"/>
      <c r="K49" s="40"/>
    </row>
    <row r="50" spans="2:11">
      <c r="B50" s="27">
        <v>8</v>
      </c>
      <c r="C50" s="28"/>
      <c r="D50" s="29"/>
      <c r="E50" s="28"/>
      <c r="F50" s="28"/>
      <c r="G50" s="28"/>
      <c r="H50" s="29"/>
      <c r="I50" s="28"/>
      <c r="J50" s="29"/>
      <c r="K50" s="28"/>
    </row>
    <row r="51" spans="2:11">
      <c r="B51" s="40"/>
      <c r="C51" s="40"/>
      <c r="D51" s="40"/>
      <c r="E51" s="40"/>
      <c r="F51" s="40"/>
      <c r="G51" s="40"/>
      <c r="H51" s="40"/>
      <c r="I51" s="40"/>
      <c r="J51" s="40"/>
      <c r="K51" s="40"/>
    </row>
    <row r="52" spans="2:11">
      <c r="B52" s="27">
        <v>9</v>
      </c>
      <c r="C52" s="28"/>
      <c r="D52" s="29"/>
      <c r="E52" s="28"/>
      <c r="F52" s="28"/>
      <c r="G52" s="28"/>
      <c r="H52" s="29"/>
      <c r="I52" s="28"/>
      <c r="J52" s="29"/>
      <c r="K52" s="28"/>
    </row>
    <row r="53" spans="2:11">
      <c r="B53" s="40"/>
      <c r="C53" s="40"/>
      <c r="D53" s="40"/>
      <c r="E53" s="40"/>
      <c r="F53" s="40"/>
      <c r="G53" s="40"/>
      <c r="H53" s="40"/>
      <c r="I53" s="40"/>
      <c r="J53" s="40"/>
      <c r="K53" s="40"/>
    </row>
    <row r="54" spans="2:11">
      <c r="B54" s="27">
        <v>10</v>
      </c>
      <c r="C54" s="28"/>
      <c r="D54" s="29"/>
      <c r="E54" s="28"/>
      <c r="F54" s="28"/>
      <c r="G54" s="28"/>
      <c r="H54" s="29"/>
      <c r="I54" s="28"/>
      <c r="J54" s="29"/>
      <c r="K54" s="28"/>
    </row>
    <row r="59" spans="2:11">
      <c r="B59" s="31" t="s">
        <v>1030</v>
      </c>
      <c r="D59" s="31"/>
      <c r="E59" s="46"/>
      <c r="F59" s="32"/>
      <c r="G59" s="32"/>
      <c r="H59" s="32"/>
      <c r="I59" s="32"/>
      <c r="J59" s="30"/>
      <c r="K59" s="32"/>
    </row>
    <row r="60" spans="2:11">
      <c r="C60" s="31"/>
      <c r="D60" s="31"/>
      <c r="E60" s="33" t="s">
        <v>991</v>
      </c>
      <c r="G60" s="33" t="s">
        <v>1822</v>
      </c>
      <c r="I60" s="33"/>
      <c r="K60" s="45" t="s">
        <v>1823</v>
      </c>
    </row>
  </sheetData>
  <customSheetViews>
    <customSheetView guid="{871F8275-217B-436F-8813-871F820F0EE4}" showPageBreaks="1" showGridLines="0" fitToPage="1" printArea="1" view="pageBreakPreview" topLeftCell="A34">
      <selection activeCell="C41" sqref="C41"/>
      <pageMargins left="0.31496062992125984" right="0.31496062992125984" top="0.39370078740157483" bottom="0.39370078740157483" header="0.19685039370078741" footer="0.19685039370078741"/>
      <pageSetup paperSize="9" scale="64" orientation="portrait" r:id="rId1"/>
      <headerFooter alignWithMargins="0">
        <oddFooter>&amp;L&amp;7 12012010&amp;C&amp;7&amp;P&amp;R&amp;7&amp;F</oddFooter>
      </headerFooter>
    </customSheetView>
    <customSheetView guid="{2EBF18CB-80C9-43ED-A978-2AAEAC40933E}" scale="75" showPageBreaks="1" showGridLines="0" printArea="1" showRuler="0">
      <selection activeCell="C5" sqref="C5"/>
      <pageMargins left="0.31496062992125984" right="0.31496062992125984" top="0.39370078740157483" bottom="0.39370078740157483" header="0.19685039370078741" footer="0.19685039370078741"/>
      <pageSetup paperSize="9" scale="70" orientation="portrait" horizontalDpi="300" verticalDpi="300" r:id="rId2"/>
      <headerFooter alignWithMargins="0">
        <oddFooter>&amp;L&amp;7 12012010&amp;C&amp;7&amp;P&amp;R&amp;7&amp;F</oddFooter>
      </headerFooter>
    </customSheetView>
    <customSheetView guid="{47D3AB49-9599-4A16-951B-F48FEC1C0136}" scale="75" showPageBreaks="1" showGridLines="0" printArea="1">
      <selection activeCell="C9" sqref="C9"/>
      <pageMargins left="0.31496062992125984" right="0.31496062992125984" top="0.39370078740157483" bottom="0.39370078740157483" header="0.19685039370078741" footer="0.19685039370078741"/>
      <pageSetup paperSize="9" scale="70" orientation="portrait" horizontalDpi="300" verticalDpi="300" r:id="rId3"/>
      <headerFooter alignWithMargins="0">
        <oddFooter>&amp;L&amp;7 12012010&amp;C&amp;7&amp;P&amp;R&amp;7&amp;F</oddFooter>
      </headerFooter>
    </customSheetView>
    <customSheetView guid="{ECE607A2-8A26-46E0-8BDC-E9AD788F604C}" showPageBreaks="1" showGridLines="0" fitToPage="1" printArea="1" view="pageBreakPreview">
      <selection activeCell="F5" sqref="F5"/>
      <pageMargins left="0.31496062992125984" right="0.31496062992125984" top="0.39370078740157483" bottom="0.39370078740157483" header="0.19685039370078741" footer="0.19685039370078741"/>
      <pageSetup paperSize="9" scale="64" orientation="portrait" r:id="rId4"/>
      <headerFooter alignWithMargins="0">
        <oddFooter>&amp;L&amp;7 12012010&amp;C&amp;7&amp;P&amp;R&amp;7&amp;F</oddFooter>
      </headerFooter>
    </customSheetView>
    <customSheetView guid="{FB1E0752-409C-4E7D-BCFE-7AEBEB8B5F0D}" showPageBreaks="1" showGridLines="0" fitToPage="1" printArea="1" view="pageBreakPreview" topLeftCell="A22">
      <selection activeCell="K14" sqref="K14"/>
      <pageMargins left="0.31496062992125984" right="0.31496062992125984" top="0.39370078740157483" bottom="0.39370078740157483" header="0.19685039370078741" footer="0.19685039370078741"/>
      <pageSetup paperSize="9" scale="64" orientation="portrait" r:id="rId5"/>
      <headerFooter alignWithMargins="0">
        <oddFooter>&amp;L&amp;7 12012010&amp;C&amp;7&amp;P&amp;R&amp;7&amp;F</oddFooter>
      </headerFooter>
    </customSheetView>
  </customSheetViews>
  <mergeCells count="3">
    <mergeCell ref="I5:K5"/>
    <mergeCell ref="I1:L1"/>
    <mergeCell ref="A3:L3"/>
  </mergeCells>
  <phoneticPr fontId="0" type="noConversion"/>
  <pageMargins left="0.31496062992125984" right="0.31496062992125984" top="0.39370078740157483" bottom="0.39370078740157483" header="0.19685039370078741" footer="0.19685039370078741"/>
  <pageSetup paperSize="9" scale="64" orientation="portrait" r:id="rId6"/>
  <headerFooter alignWithMargins="0">
    <oddFooter>&amp;L&amp;7 12012010&amp;C&amp;7&amp;P&amp;R&amp;7&amp;F</oddFooter>
  </headerFooter>
</worksheet>
</file>

<file path=xl/worksheets/sheet30.xml><?xml version="1.0" encoding="utf-8"?>
<worksheet xmlns="http://schemas.openxmlformats.org/spreadsheetml/2006/main" xmlns:r="http://schemas.openxmlformats.org/officeDocument/2006/relationships">
  <sheetPr codeName="Лист22"/>
  <dimension ref="B1:I43"/>
  <sheetViews>
    <sheetView workbookViewId="0"/>
  </sheetViews>
  <sheetFormatPr defaultRowHeight="15"/>
  <cols>
    <col min="1" max="1" width="5.140625" style="216" customWidth="1"/>
    <col min="2" max="2" width="12" style="216" customWidth="1"/>
    <col min="3" max="3" width="43.42578125" style="216" customWidth="1"/>
    <col min="4" max="9" width="20.7109375" style="216" customWidth="1"/>
    <col min="10" max="16384" width="9.140625" style="216"/>
  </cols>
  <sheetData>
    <row r="1" spans="2:9" s="334" customFormat="1" ht="12.75" customHeight="1">
      <c r="B1" s="739"/>
      <c r="C1" s="740"/>
      <c r="D1" s="740"/>
      <c r="E1" s="740"/>
      <c r="F1" s="740"/>
      <c r="G1" s="740"/>
      <c r="H1" s="1189" t="s">
        <v>1870</v>
      </c>
      <c r="I1" s="1173"/>
    </row>
    <row r="2" spans="2:9" s="334" customFormat="1" ht="18">
      <c r="C2" s="39" t="str">
        <f>T!E18</f>
        <v>Номгӯи ташкилоти қарзӣ</v>
      </c>
      <c r="D2" s="740"/>
      <c r="E2" s="740"/>
      <c r="F2" s="740"/>
      <c r="G2" s="740"/>
      <c r="H2" s="1173"/>
      <c r="I2" s="1173"/>
    </row>
    <row r="3" spans="2:9" s="334" customFormat="1" ht="18">
      <c r="B3" s="740"/>
      <c r="C3" s="741" t="str">
        <f>T!B10</f>
        <v>Ҳисобот дар санаи</v>
      </c>
      <c r="D3" s="740"/>
      <c r="E3" s="740"/>
      <c r="F3" s="740"/>
      <c r="G3" s="740"/>
      <c r="H3" s="740"/>
      <c r="I3" s="740"/>
    </row>
    <row r="4" spans="2:9" s="334" customFormat="1" ht="18">
      <c r="B4" s="742" t="s">
        <v>683</v>
      </c>
      <c r="C4" s="743" t="str">
        <f>'List of Scedules'!B29</f>
        <v>ҶАДВАЛИ 13.05. ТАСНИФИ АМОНАТҲО АЗ РӮИ МАБЛАҒ</v>
      </c>
      <c r="D4" s="744"/>
      <c r="E4" s="744"/>
      <c r="F4" s="744"/>
      <c r="G4" s="744"/>
      <c r="H4" s="744"/>
      <c r="I4" s="745"/>
    </row>
    <row r="5" spans="2:9" s="334" customFormat="1" ht="18">
      <c r="B5" s="745"/>
      <c r="C5" s="745"/>
      <c r="D5" s="745"/>
      <c r="E5" s="745"/>
      <c r="F5" s="745"/>
      <c r="G5" s="745"/>
      <c r="H5" s="745"/>
      <c r="I5" s="745"/>
    </row>
    <row r="6" spans="2:9" s="334" customFormat="1" ht="18">
      <c r="B6" s="1239"/>
      <c r="C6" s="1242"/>
      <c r="D6" s="1242" t="s">
        <v>1329</v>
      </c>
      <c r="E6" s="1242"/>
      <c r="F6" s="1243"/>
      <c r="G6" s="1242"/>
      <c r="H6" s="1242"/>
      <c r="I6" s="1244" t="s">
        <v>1321</v>
      </c>
    </row>
    <row r="7" spans="2:9" s="334" customFormat="1" ht="18">
      <c r="B7" s="1240"/>
      <c r="C7" s="1240"/>
      <c r="D7" s="1238" t="s">
        <v>1322</v>
      </c>
      <c r="E7" s="1238"/>
      <c r="F7" s="1238"/>
      <c r="G7" s="1238"/>
      <c r="H7" s="1238"/>
      <c r="I7" s="1245"/>
    </row>
    <row r="8" spans="2:9" s="334" customFormat="1" ht="18">
      <c r="B8" s="1240"/>
      <c r="C8" s="1240"/>
      <c r="D8" s="480" t="s">
        <v>1774</v>
      </c>
      <c r="E8" s="480" t="s">
        <v>1775</v>
      </c>
      <c r="F8" s="480" t="s">
        <v>1776</v>
      </c>
      <c r="G8" s="480" t="s">
        <v>1777</v>
      </c>
      <c r="H8" s="480" t="s">
        <v>1778</v>
      </c>
      <c r="I8" s="1245"/>
    </row>
    <row r="9" spans="2:9" s="334" customFormat="1" ht="18">
      <c r="B9" s="481" t="s">
        <v>1330</v>
      </c>
      <c r="C9" s="482" t="s">
        <v>1773</v>
      </c>
      <c r="D9" s="483"/>
      <c r="E9" s="483"/>
      <c r="F9" s="483"/>
      <c r="G9" s="483"/>
      <c r="H9" s="483"/>
      <c r="I9" s="483"/>
    </row>
    <row r="10" spans="2:9" s="334" customFormat="1" ht="18">
      <c r="B10" s="481" t="s">
        <v>1331</v>
      </c>
      <c r="C10" s="484" t="s">
        <v>1323</v>
      </c>
      <c r="D10" s="485"/>
      <c r="E10" s="485"/>
      <c r="F10" s="485"/>
      <c r="G10" s="485"/>
      <c r="H10" s="485"/>
      <c r="I10" s="483"/>
    </row>
    <row r="11" spans="2:9" s="334" customFormat="1" ht="18">
      <c r="B11" s="481" t="s">
        <v>1332</v>
      </c>
      <c r="C11" s="486" t="s">
        <v>1324</v>
      </c>
      <c r="D11" s="9">
        <v>0</v>
      </c>
      <c r="E11" s="9">
        <v>0</v>
      </c>
      <c r="F11" s="9">
        <v>0</v>
      </c>
      <c r="G11" s="9">
        <v>0</v>
      </c>
      <c r="H11" s="9">
        <v>0</v>
      </c>
      <c r="I11" s="488">
        <f t="shared" ref="I11:I22" si="0">SUM(D11:H11)</f>
        <v>0</v>
      </c>
    </row>
    <row r="12" spans="2:9" s="334" customFormat="1" ht="18">
      <c r="B12" s="481" t="s">
        <v>1333</v>
      </c>
      <c r="C12" s="486" t="s">
        <v>1325</v>
      </c>
      <c r="D12" s="9">
        <v>0</v>
      </c>
      <c r="E12" s="9">
        <v>0</v>
      </c>
      <c r="F12" s="9">
        <v>0</v>
      </c>
      <c r="G12" s="9">
        <v>0</v>
      </c>
      <c r="H12" s="9">
        <v>0</v>
      </c>
      <c r="I12" s="488">
        <f t="shared" si="0"/>
        <v>0</v>
      </c>
    </row>
    <row r="13" spans="2:9" s="334" customFormat="1" ht="18">
      <c r="B13" s="481" t="s">
        <v>1334</v>
      </c>
      <c r="C13" s="484" t="s">
        <v>1326</v>
      </c>
      <c r="D13" s="489"/>
      <c r="E13" s="489"/>
      <c r="F13" s="489"/>
      <c r="G13" s="489"/>
      <c r="H13" s="489"/>
      <c r="I13" s="489"/>
    </row>
    <row r="14" spans="2:9" s="334" customFormat="1" ht="18">
      <c r="B14" s="481" t="s">
        <v>1335</v>
      </c>
      <c r="C14" s="486" t="s">
        <v>1324</v>
      </c>
      <c r="D14" s="487">
        <v>0</v>
      </c>
      <c r="E14" s="487">
        <v>0</v>
      </c>
      <c r="F14" s="487">
        <v>0</v>
      </c>
      <c r="G14" s="487">
        <v>0</v>
      </c>
      <c r="H14" s="487">
        <v>0</v>
      </c>
      <c r="I14" s="488">
        <f t="shared" si="0"/>
        <v>0</v>
      </c>
    </row>
    <row r="15" spans="2:9" s="334" customFormat="1" ht="18">
      <c r="B15" s="481" t="s">
        <v>1336</v>
      </c>
      <c r="C15" s="486" t="s">
        <v>1325</v>
      </c>
      <c r="D15" s="487">
        <v>0</v>
      </c>
      <c r="E15" s="487">
        <v>0</v>
      </c>
      <c r="F15" s="487">
        <v>0</v>
      </c>
      <c r="G15" s="487">
        <v>0</v>
      </c>
      <c r="H15" s="487">
        <v>0</v>
      </c>
      <c r="I15" s="488">
        <f t="shared" si="0"/>
        <v>0</v>
      </c>
    </row>
    <row r="16" spans="2:9" s="334" customFormat="1" ht="18">
      <c r="B16" s="481" t="s">
        <v>1337</v>
      </c>
      <c r="C16" s="482" t="s">
        <v>1114</v>
      </c>
      <c r="D16" s="489"/>
      <c r="E16" s="489"/>
      <c r="F16" s="489"/>
      <c r="G16" s="489"/>
      <c r="H16" s="489"/>
      <c r="I16" s="489"/>
    </row>
    <row r="17" spans="2:9" s="334" customFormat="1" ht="18">
      <c r="B17" s="481" t="s">
        <v>1338</v>
      </c>
      <c r="C17" s="484" t="s">
        <v>1323</v>
      </c>
      <c r="D17" s="485"/>
      <c r="E17" s="485"/>
      <c r="F17" s="485"/>
      <c r="G17" s="485"/>
      <c r="H17" s="485"/>
      <c r="I17" s="485"/>
    </row>
    <row r="18" spans="2:9" s="334" customFormat="1" ht="18">
      <c r="B18" s="481" t="s">
        <v>1339</v>
      </c>
      <c r="C18" s="486" t="s">
        <v>1324</v>
      </c>
      <c r="D18" s="9"/>
      <c r="E18" s="9"/>
      <c r="F18" s="9"/>
      <c r="G18" s="9"/>
      <c r="H18" s="9"/>
      <c r="I18" s="488">
        <f>SUM(D18:H18)</f>
        <v>0</v>
      </c>
    </row>
    <row r="19" spans="2:9" s="334" customFormat="1" ht="18">
      <c r="B19" s="481" t="s">
        <v>1340</v>
      </c>
      <c r="C19" s="486" t="s">
        <v>1325</v>
      </c>
      <c r="D19" s="9"/>
      <c r="E19" s="9"/>
      <c r="F19" s="9"/>
      <c r="G19" s="9"/>
      <c r="H19" s="9"/>
      <c r="I19" s="488">
        <f>SUM(D19:H19)</f>
        <v>0</v>
      </c>
    </row>
    <row r="20" spans="2:9" s="334" customFormat="1" ht="18">
      <c r="B20" s="481" t="s">
        <v>1341</v>
      </c>
      <c r="C20" s="484" t="s">
        <v>1326</v>
      </c>
      <c r="D20" s="489"/>
      <c r="E20" s="489"/>
      <c r="F20" s="489"/>
      <c r="G20" s="489"/>
      <c r="H20" s="489"/>
      <c r="I20" s="489"/>
    </row>
    <row r="21" spans="2:9" s="334" customFormat="1" ht="18">
      <c r="B21" s="481" t="s">
        <v>1342</v>
      </c>
      <c r="C21" s="486" t="s">
        <v>1324</v>
      </c>
      <c r="D21" s="487">
        <v>1428</v>
      </c>
      <c r="E21" s="487">
        <v>2000</v>
      </c>
      <c r="F21" s="487">
        <v>0</v>
      </c>
      <c r="G21" s="487">
        <v>0</v>
      </c>
      <c r="H21" s="487">
        <v>0</v>
      </c>
      <c r="I21" s="488">
        <f t="shared" si="0"/>
        <v>3428</v>
      </c>
    </row>
    <row r="22" spans="2:9" s="334" customFormat="1" ht="18">
      <c r="B22" s="481" t="s">
        <v>1343</v>
      </c>
      <c r="C22" s="486" t="s">
        <v>1325</v>
      </c>
      <c r="D22" s="487">
        <v>38</v>
      </c>
      <c r="E22" s="487">
        <v>1</v>
      </c>
      <c r="F22" s="487">
        <v>0</v>
      </c>
      <c r="G22" s="487">
        <v>0</v>
      </c>
      <c r="H22" s="487">
        <v>0</v>
      </c>
      <c r="I22" s="488">
        <f t="shared" si="0"/>
        <v>39</v>
      </c>
    </row>
    <row r="23" spans="2:9" s="334" customFormat="1" ht="18">
      <c r="B23" s="481" t="s">
        <v>1344</v>
      </c>
      <c r="C23" s="490" t="s">
        <v>1327</v>
      </c>
      <c r="D23" s="489"/>
      <c r="E23" s="489"/>
      <c r="F23" s="489"/>
      <c r="G23" s="489"/>
      <c r="H23" s="489"/>
      <c r="I23" s="491">
        <f>SUM(I11,I14,I18,I21)</f>
        <v>3428</v>
      </c>
    </row>
    <row r="24" spans="2:9" s="334" customFormat="1" ht="7.5" customHeight="1">
      <c r="B24" s="474"/>
      <c r="C24" s="475"/>
      <c r="D24" s="475"/>
      <c r="E24" s="475"/>
      <c r="F24" s="475"/>
      <c r="G24" s="475"/>
      <c r="H24" s="475"/>
      <c r="I24" s="475"/>
    </row>
    <row r="25" spans="2:9" s="334" customFormat="1" ht="9.75" customHeight="1">
      <c r="B25" s="476"/>
      <c r="C25" s="477"/>
      <c r="D25" s="478"/>
      <c r="E25" s="478"/>
      <c r="F25" s="478"/>
      <c r="G25" s="478"/>
      <c r="H25" s="478"/>
      <c r="I25" s="478"/>
    </row>
    <row r="26" spans="2:9" s="334" customFormat="1" ht="18">
      <c r="B26" s="1239"/>
      <c r="C26" s="1241"/>
      <c r="D26" s="1242" t="s">
        <v>1329</v>
      </c>
      <c r="E26" s="1242"/>
      <c r="F26" s="1243"/>
      <c r="G26" s="1242"/>
      <c r="H26" s="1242"/>
      <c r="I26" s="1244" t="s">
        <v>1321</v>
      </c>
    </row>
    <row r="27" spans="2:9" s="334" customFormat="1" ht="18">
      <c r="B27" s="1240"/>
      <c r="C27" s="1240"/>
      <c r="D27" s="1238" t="s">
        <v>1328</v>
      </c>
      <c r="E27" s="1246"/>
      <c r="F27" s="1246"/>
      <c r="G27" s="1246"/>
      <c r="H27" s="1246"/>
      <c r="I27" s="1245"/>
    </row>
    <row r="28" spans="2:9" s="334" customFormat="1" ht="18">
      <c r="B28" s="1240"/>
      <c r="C28" s="1240"/>
      <c r="D28" s="480" t="s">
        <v>1774</v>
      </c>
      <c r="E28" s="480" t="s">
        <v>1775</v>
      </c>
      <c r="F28" s="480" t="s">
        <v>1776</v>
      </c>
      <c r="G28" s="480" t="s">
        <v>1777</v>
      </c>
      <c r="H28" s="480" t="s">
        <v>1778</v>
      </c>
      <c r="I28" s="1245"/>
    </row>
    <row r="29" spans="2:9" s="334" customFormat="1" ht="18">
      <c r="B29" s="481" t="s">
        <v>1345</v>
      </c>
      <c r="C29" s="482" t="s">
        <v>1773</v>
      </c>
      <c r="D29" s="483"/>
      <c r="E29" s="483"/>
      <c r="F29" s="483"/>
      <c r="G29" s="483"/>
      <c r="H29" s="483"/>
      <c r="I29" s="483"/>
    </row>
    <row r="30" spans="2:9" s="334" customFormat="1" ht="18">
      <c r="B30" s="481" t="s">
        <v>1346</v>
      </c>
      <c r="C30" s="484" t="s">
        <v>1323</v>
      </c>
      <c r="D30" s="489"/>
      <c r="E30" s="489"/>
      <c r="F30" s="489"/>
      <c r="G30" s="489"/>
      <c r="H30" s="489"/>
      <c r="I30" s="489"/>
    </row>
    <row r="31" spans="2:9" s="334" customFormat="1" ht="18">
      <c r="B31" s="481" t="s">
        <v>1347</v>
      </c>
      <c r="C31" s="486" t="s">
        <v>1324</v>
      </c>
      <c r="D31" s="9">
        <v>0</v>
      </c>
      <c r="E31" s="9">
        <v>0</v>
      </c>
      <c r="F31" s="9">
        <v>0</v>
      </c>
      <c r="G31" s="9">
        <v>0</v>
      </c>
      <c r="H31" s="9">
        <v>0</v>
      </c>
      <c r="I31" s="488">
        <f>SUM(D31:H31)</f>
        <v>0</v>
      </c>
    </row>
    <row r="32" spans="2:9" s="334" customFormat="1" ht="18">
      <c r="B32" s="481" t="s">
        <v>1348</v>
      </c>
      <c r="C32" s="486" t="s">
        <v>1325</v>
      </c>
      <c r="D32" s="9">
        <v>0</v>
      </c>
      <c r="E32" s="9">
        <v>0</v>
      </c>
      <c r="F32" s="9">
        <v>0</v>
      </c>
      <c r="G32" s="9">
        <v>0</v>
      </c>
      <c r="H32" s="9">
        <v>0</v>
      </c>
      <c r="I32" s="488">
        <f>SUM(D32:H32)</f>
        <v>0</v>
      </c>
    </row>
    <row r="33" spans="2:9" s="334" customFormat="1" ht="18">
      <c r="B33" s="481" t="s">
        <v>1349</v>
      </c>
      <c r="C33" s="484" t="s">
        <v>1326</v>
      </c>
      <c r="D33" s="489"/>
      <c r="E33" s="489"/>
      <c r="F33" s="489"/>
      <c r="G33" s="489"/>
      <c r="H33" s="489"/>
      <c r="I33" s="489"/>
    </row>
    <row r="34" spans="2:9" s="334" customFormat="1" ht="18">
      <c r="B34" s="481" t="s">
        <v>1350</v>
      </c>
      <c r="C34" s="486" t="s">
        <v>1324</v>
      </c>
      <c r="D34" s="487">
        <v>0</v>
      </c>
      <c r="E34" s="487">
        <v>0</v>
      </c>
      <c r="F34" s="487">
        <v>0</v>
      </c>
      <c r="G34" s="487">
        <v>0</v>
      </c>
      <c r="H34" s="487">
        <v>0</v>
      </c>
      <c r="I34" s="488">
        <f>SUM(D34:H34)</f>
        <v>0</v>
      </c>
    </row>
    <row r="35" spans="2:9" s="334" customFormat="1" ht="18">
      <c r="B35" s="481" t="s">
        <v>1351</v>
      </c>
      <c r="C35" s="486" t="s">
        <v>1325</v>
      </c>
      <c r="D35" s="487">
        <v>0</v>
      </c>
      <c r="E35" s="487">
        <v>0</v>
      </c>
      <c r="F35" s="487">
        <v>0</v>
      </c>
      <c r="G35" s="487">
        <v>0</v>
      </c>
      <c r="H35" s="487">
        <v>0</v>
      </c>
      <c r="I35" s="488">
        <f>SUM(D35:H35)</f>
        <v>0</v>
      </c>
    </row>
    <row r="36" spans="2:9" s="334" customFormat="1" ht="18">
      <c r="B36" s="481" t="s">
        <v>1352</v>
      </c>
      <c r="C36" s="482" t="s">
        <v>1114</v>
      </c>
      <c r="D36" s="489"/>
      <c r="E36" s="489"/>
      <c r="F36" s="489"/>
      <c r="G36" s="489"/>
      <c r="H36" s="489"/>
      <c r="I36" s="489"/>
    </row>
    <row r="37" spans="2:9" s="334" customFormat="1" ht="18">
      <c r="B37" s="481" t="s">
        <v>1353</v>
      </c>
      <c r="C37" s="484" t="s">
        <v>1323</v>
      </c>
      <c r="D37" s="492"/>
      <c r="E37" s="492"/>
      <c r="F37" s="492"/>
      <c r="G37" s="492"/>
      <c r="H37" s="492"/>
      <c r="I37" s="489"/>
    </row>
    <row r="38" spans="2:9" s="334" customFormat="1" ht="18">
      <c r="B38" s="481" t="s">
        <v>1354</v>
      </c>
      <c r="C38" s="486" t="s">
        <v>1324</v>
      </c>
      <c r="D38" s="9"/>
      <c r="E38" s="9"/>
      <c r="F38" s="9"/>
      <c r="G38" s="9"/>
      <c r="H38" s="9"/>
      <c r="I38" s="488">
        <f>SUM(D38:H38)</f>
        <v>0</v>
      </c>
    </row>
    <row r="39" spans="2:9" s="334" customFormat="1" ht="18">
      <c r="B39" s="481" t="s">
        <v>1355</v>
      </c>
      <c r="C39" s="486" t="s">
        <v>1325</v>
      </c>
      <c r="D39" s="9"/>
      <c r="E39" s="9"/>
      <c r="F39" s="9"/>
      <c r="G39" s="9"/>
      <c r="H39" s="9"/>
      <c r="I39" s="488">
        <f>SUM(D39:H39)</f>
        <v>0</v>
      </c>
    </row>
    <row r="40" spans="2:9" s="334" customFormat="1" ht="18">
      <c r="B40" s="481" t="s">
        <v>1356</v>
      </c>
      <c r="C40" s="484" t="s">
        <v>1326</v>
      </c>
      <c r="D40" s="492"/>
      <c r="E40" s="492"/>
      <c r="F40" s="492"/>
      <c r="G40" s="492"/>
      <c r="H40" s="492"/>
      <c r="I40" s="489"/>
    </row>
    <row r="41" spans="2:9" s="334" customFormat="1" ht="18">
      <c r="B41" s="481" t="s">
        <v>1357</v>
      </c>
      <c r="C41" s="486" t="s">
        <v>1324</v>
      </c>
      <c r="D41" s="487"/>
      <c r="E41" s="487"/>
      <c r="F41" s="487"/>
      <c r="G41" s="487"/>
      <c r="H41" s="487"/>
      <c r="I41" s="488">
        <f>SUM(D41:H41)</f>
        <v>0</v>
      </c>
    </row>
    <row r="42" spans="2:9" s="334" customFormat="1" ht="18">
      <c r="B42" s="481" t="s">
        <v>1358</v>
      </c>
      <c r="C42" s="486" t="s">
        <v>1325</v>
      </c>
      <c r="D42" s="487"/>
      <c r="E42" s="487"/>
      <c r="F42" s="487"/>
      <c r="G42" s="487"/>
      <c r="H42" s="487"/>
      <c r="I42" s="488">
        <f>SUM(D42:H42)</f>
        <v>0</v>
      </c>
    </row>
    <row r="43" spans="2:9" s="334" customFormat="1" ht="18">
      <c r="B43" s="481" t="s">
        <v>1359</v>
      </c>
      <c r="C43" s="490" t="s">
        <v>1327</v>
      </c>
      <c r="D43" s="489"/>
      <c r="E43" s="489"/>
      <c r="F43" s="489"/>
      <c r="G43" s="489"/>
      <c r="H43" s="489"/>
      <c r="I43" s="491">
        <f>SUM(I31,I34,I38,I41)</f>
        <v>0</v>
      </c>
    </row>
  </sheetData>
  <sheetProtection password="E9D4" sheet="1"/>
  <customSheetViews>
    <customSheetView guid="{871F8275-217B-436F-8813-871F820F0EE4}" scale="85" showPageBreaks="1" showGridLines="0" view="pageBreakPreview" topLeftCell="A7">
      <selection activeCell="I43" activeCellId="1" sqref="I23 I43"/>
      <pageMargins left="0.39370078740157483" right="0.39370078740157483" top="0.31496062992125984" bottom="0.31496062992125984" header="0.19685039370078741" footer="0.19685039370078741"/>
      <pageSetup paperSize="9" scale="75" orientation="landscape" r:id="rId1"/>
      <headerFooter alignWithMargins="0">
        <oddFooter>&amp;L&amp;7&amp;D&amp;C&amp;7&amp;P&amp;R&amp;7&amp;F</oddFooter>
      </headerFooter>
    </customSheetView>
    <customSheetView guid="{2EBF18CB-80C9-43ED-A978-2AAEAC40933E}" scale="75" showGridLines="0" showRuler="0">
      <selection activeCell="F33" sqref="F33"/>
      <pageMargins left="0.39370078740157483" right="0.39370078740157483" top="0.31496062992125984" bottom="0.31496062992125984" header="0.19685039370078741" footer="0.19685039370078741"/>
      <pageSetup paperSize="9" scale="75" orientation="landscape" horizontalDpi="300" verticalDpi="300" r:id="rId2"/>
      <headerFooter alignWithMargins="0">
        <oddFooter>&amp;L&amp;7&amp;D&amp;C&amp;7&amp;P&amp;R&amp;7&amp;F</oddFooter>
      </headerFooter>
    </customSheetView>
    <customSheetView guid="{47D3AB49-9599-4A16-951B-F48FEC1C0136}" scale="75" showGridLines="0" topLeftCell="B13">
      <selection activeCell="D38" sqref="D38:H39"/>
      <pageMargins left="0.39370078740157483" right="0.39370078740157483" top="0.31496062992125984" bottom="0.31496062992125984" header="0.19685039370078741" footer="0.19685039370078741"/>
      <pageSetup paperSize="9" scale="75" orientation="landscape" horizontalDpi="300" verticalDpi="300" r:id="rId3"/>
      <headerFooter alignWithMargins="0">
        <oddFooter>&amp;L&amp;7&amp;D&amp;C&amp;7&amp;P&amp;R&amp;7&amp;F</oddFooter>
      </headerFooter>
    </customSheetView>
    <customSheetView guid="{ECE607A2-8A26-46E0-8BDC-E9AD788F604C}" scale="85" showPageBreaks="1" showGridLines="0" view="pageBreakPreview" topLeftCell="A13">
      <selection activeCell="I39" activeCellId="1" sqref="I32 I39"/>
      <pageMargins left="0.39370078740157483" right="0.39370078740157483" top="0.31496062992125984" bottom="0.31496062992125984" header="0.19685039370078741" footer="0.19685039370078741"/>
      <pageSetup paperSize="9" scale="75" orientation="landscape" r:id="rId4"/>
      <headerFooter alignWithMargins="0">
        <oddFooter>&amp;L&amp;7&amp;D&amp;C&amp;7&amp;P&amp;R&amp;7&amp;F</oddFooter>
      </headerFooter>
    </customSheetView>
    <customSheetView guid="{FB1E0752-409C-4E7D-BCFE-7AEBEB8B5F0D}" scale="85" showPageBreaks="1" showGridLines="0" view="pageBreakPreview" topLeftCell="A10">
      <selection activeCell="I39" activeCellId="1" sqref="I32 I39"/>
      <pageMargins left="0.39370078740157483" right="0.39370078740157483" top="0.31496062992125984" bottom="0.31496062992125984" header="0.19685039370078741" footer="0.19685039370078741"/>
      <pageSetup paperSize="9" scale="75" orientation="landscape" r:id="rId5"/>
      <headerFooter alignWithMargins="0">
        <oddFooter>&amp;L&amp;7&amp;D&amp;C&amp;7&amp;P&amp;R&amp;7&amp;F</oddFooter>
      </headerFooter>
    </customSheetView>
  </customSheetViews>
  <mergeCells count="11">
    <mergeCell ref="D7:H7"/>
    <mergeCell ref="H1:I2"/>
    <mergeCell ref="B26:B28"/>
    <mergeCell ref="C26:C28"/>
    <mergeCell ref="D26:H26"/>
    <mergeCell ref="I26:I28"/>
    <mergeCell ref="D27:H27"/>
    <mergeCell ref="B6:B8"/>
    <mergeCell ref="C6:C8"/>
    <mergeCell ref="D6:H6"/>
    <mergeCell ref="I6:I8"/>
  </mergeCells>
  <phoneticPr fontId="0" type="noConversion"/>
  <pageMargins left="0.39370078740157483" right="0.39370078740157483" top="0.31496062992125984" bottom="0.31496062992125984" header="0.19685039370078741" footer="0.19685039370078741"/>
  <pageSetup paperSize="9" scale="75" orientation="landscape" r:id="rId6"/>
  <headerFooter alignWithMargins="0">
    <oddFooter>&amp;L&amp;7&amp;D&amp;C&amp;7&amp;P&amp;R&amp;7&amp;F</oddFooter>
  </headerFooter>
</worksheet>
</file>

<file path=xl/worksheets/sheet31.xml><?xml version="1.0" encoding="utf-8"?>
<worksheet xmlns="http://schemas.openxmlformats.org/spreadsheetml/2006/main" xmlns:r="http://schemas.openxmlformats.org/officeDocument/2006/relationships">
  <sheetPr codeName="Лист31">
    <tabColor rgb="FFFFFF00"/>
  </sheetPr>
  <dimension ref="B1:K27"/>
  <sheetViews>
    <sheetView topLeftCell="A13" zoomScale="85" zoomScaleNormal="85" workbookViewId="0">
      <selection activeCell="B17" sqref="B17"/>
    </sheetView>
  </sheetViews>
  <sheetFormatPr defaultRowHeight="15"/>
  <cols>
    <col min="1" max="1" width="2.140625" style="216" customWidth="1"/>
    <col min="2" max="2" width="10.7109375" style="216" customWidth="1"/>
    <col min="3" max="3" width="54.28515625" style="216" bestFit="1" customWidth="1"/>
    <col min="4" max="4" width="15.28515625" style="216" customWidth="1"/>
    <col min="5" max="5" width="60" style="216" customWidth="1"/>
    <col min="6" max="8" width="20.7109375" style="216" customWidth="1"/>
    <col min="9" max="16384" width="9.140625" style="216"/>
  </cols>
  <sheetData>
    <row r="1" spans="2:10" s="334" customFormat="1" ht="11.25" customHeight="1">
      <c r="C1" s="383"/>
      <c r="D1" s="384"/>
      <c r="E1" s="385"/>
      <c r="F1" s="384"/>
      <c r="G1" s="1189" t="s">
        <v>1871</v>
      </c>
      <c r="H1" s="1173"/>
    </row>
    <row r="2" spans="2:10" s="334" customFormat="1" ht="18">
      <c r="C2" s="39" t="str">
        <f>T!E18</f>
        <v>Номгӯи ташкилоти қарзӣ</v>
      </c>
      <c r="E2" s="385"/>
      <c r="F2" s="384"/>
      <c r="G2" s="1173"/>
      <c r="H2" s="1173"/>
    </row>
    <row r="3" spans="2:10" s="334" customFormat="1" ht="18">
      <c r="C3" s="386" t="str">
        <f>T!B10</f>
        <v>Ҳисобот дар санаи</v>
      </c>
      <c r="E3" s="384"/>
      <c r="F3" s="383"/>
      <c r="G3" s="384"/>
      <c r="H3" s="384"/>
    </row>
    <row r="4" spans="2:10" s="334" customFormat="1" ht="18">
      <c r="C4" s="386" t="str">
        <f>'List of Scedules'!B30</f>
        <v>ҶАДВАЛИ 14.01. МЕЪЁРҲОИ МАҚБУЛ</v>
      </c>
      <c r="E4" s="387"/>
      <c r="F4" s="387"/>
      <c r="G4" s="387"/>
      <c r="H4" s="384"/>
    </row>
    <row r="5" spans="2:10" ht="18">
      <c r="C5" s="388"/>
      <c r="D5" s="388"/>
      <c r="E5" s="388"/>
      <c r="F5" s="388"/>
      <c r="G5" s="388"/>
      <c r="H5" s="388"/>
    </row>
    <row r="6" spans="2:10" ht="54">
      <c r="B6" s="373"/>
      <c r="C6" s="374" t="s">
        <v>1802</v>
      </c>
      <c r="D6" s="374" t="s">
        <v>1116</v>
      </c>
      <c r="E6" s="375" t="s">
        <v>1803</v>
      </c>
      <c r="F6" s="374" t="s">
        <v>1811</v>
      </c>
      <c r="G6" s="374" t="s">
        <v>1812</v>
      </c>
      <c r="H6" s="374" t="s">
        <v>1707</v>
      </c>
    </row>
    <row r="7" spans="2:10" ht="18">
      <c r="B7" s="373"/>
      <c r="C7" s="375">
        <v>1</v>
      </c>
      <c r="D7" s="375">
        <v>2</v>
      </c>
      <c r="E7" s="375">
        <v>3</v>
      </c>
      <c r="F7" s="375">
        <v>4</v>
      </c>
      <c r="G7" s="375">
        <v>5</v>
      </c>
      <c r="H7" s="375">
        <v>6</v>
      </c>
    </row>
    <row r="8" spans="2:10" ht="35.25" customHeight="1">
      <c r="B8" s="376" t="s">
        <v>1193</v>
      </c>
      <c r="C8" s="377" t="s">
        <v>1804</v>
      </c>
      <c r="D8" s="378" t="s">
        <v>938</v>
      </c>
      <c r="E8" s="379" t="s">
        <v>1117</v>
      </c>
      <c r="F8" s="767">
        <f>IFERROR(+CA15.03!F25,0)</f>
        <v>0</v>
      </c>
      <c r="G8" s="885">
        <v>0.12</v>
      </c>
      <c r="H8" s="887">
        <f>F8-G8</f>
        <v>-0.12</v>
      </c>
      <c r="J8" s="389"/>
    </row>
    <row r="9" spans="2:10" ht="34.5" customHeight="1">
      <c r="B9" s="376" t="s">
        <v>1194</v>
      </c>
      <c r="C9" s="377" t="s">
        <v>1804</v>
      </c>
      <c r="D9" s="378" t="s">
        <v>939</v>
      </c>
      <c r="E9" s="379" t="s">
        <v>1118</v>
      </c>
      <c r="F9" s="767">
        <f>IFERROR(+CA15.05!D36/(BA01.01!D97-BA01.01!D90),0)</f>
        <v>0</v>
      </c>
      <c r="G9" s="885">
        <v>0.1</v>
      </c>
      <c r="H9" s="887">
        <f t="shared" ref="H9:H16" si="0">F9-G9</f>
        <v>-0.1</v>
      </c>
    </row>
    <row r="10" spans="2:10" ht="34.5" customHeight="1">
      <c r="B10" s="376" t="s">
        <v>1195</v>
      </c>
      <c r="C10" s="380" t="s">
        <v>1805</v>
      </c>
      <c r="D10" s="378" t="s">
        <v>1201</v>
      </c>
      <c r="E10" s="379" t="s">
        <v>1004</v>
      </c>
      <c r="F10" s="767">
        <f>IFERROR(+(BA01.01!D7+BA01.01!D8+RM12.03!D10+RM12.03!E10+RM12.03!D12+RM12.03!E12+RM12.03!D14+RM12.03!E14+RM12.03!D16+RM12.03!E16+RM12.03!D18+RM12.03!E18)/(RM12.04!D26+RM12.04!E26-RM12.04!D18-RM12.04!E18-RM12.04!D22-RM12.04!E22),0)</f>
        <v>0</v>
      </c>
      <c r="G10" s="885">
        <f>IF(OR(F8&lt;G8,F9&lt;G9,F10&lt;50%,F11&gt;G11,F12&gt;G12,F13&gt;G13,F14&gt;G14,F15&gt;G15,F16&gt;G16,F18&gt;G18,F19&gt;G19,F20&gt;G20,F21&gt;G21,F22&gt;G22,F23&gt;G23,F24&gt;G24,F25&gt;G25,F26&gt;G26,F27&gt;G27),50%,30%)</f>
        <v>0.5</v>
      </c>
      <c r="H10" s="887">
        <f t="shared" si="0"/>
        <v>-0.5</v>
      </c>
    </row>
    <row r="11" spans="2:10" ht="35.25" customHeight="1">
      <c r="B11" s="376" t="s">
        <v>1196</v>
      </c>
      <c r="C11" s="380" t="s">
        <v>1806</v>
      </c>
      <c r="D11" s="378" t="s">
        <v>1202</v>
      </c>
      <c r="E11" s="379" t="s">
        <v>1119</v>
      </c>
      <c r="F11" s="391">
        <f>IFERROR(IF(CA15.05!D36&lt;&gt;0,LB08.01!B9/CA15.05!D36,0),0)</f>
        <v>0</v>
      </c>
      <c r="G11" s="885">
        <v>0.2</v>
      </c>
      <c r="H11" s="887">
        <f t="shared" si="0"/>
        <v>-0.2</v>
      </c>
    </row>
    <row r="12" spans="2:10" ht="35.25" customHeight="1">
      <c r="B12" s="376" t="s">
        <v>1197</v>
      </c>
      <c r="C12" s="380" t="s">
        <v>1807</v>
      </c>
      <c r="D12" s="378" t="s">
        <v>1203</v>
      </c>
      <c r="E12" s="379" t="s">
        <v>1120</v>
      </c>
      <c r="F12" s="768">
        <f>IFERROR(+LB08.01!I11/CA15.05!D36,0)</f>
        <v>0</v>
      </c>
      <c r="G12" s="886">
        <v>3</v>
      </c>
      <c r="H12" s="888">
        <f>F12-G12</f>
        <v>-3</v>
      </c>
    </row>
    <row r="13" spans="2:10" ht="35.25" customHeight="1">
      <c r="B13" s="376" t="s">
        <v>1002</v>
      </c>
      <c r="C13" s="377" t="s">
        <v>1022</v>
      </c>
      <c r="D13" s="382" t="s">
        <v>1003</v>
      </c>
      <c r="E13" s="379" t="s">
        <v>1121</v>
      </c>
      <c r="F13" s="391">
        <f>IFERROR(IF(CA15.05!D36&lt;&gt;0,BB21.01!B8/CA15.05!D36,0),0)</f>
        <v>0</v>
      </c>
      <c r="G13" s="885">
        <v>0.2</v>
      </c>
      <c r="H13" s="887">
        <f>F13-G13</f>
        <v>-0.2</v>
      </c>
    </row>
    <row r="14" spans="2:10" ht="36">
      <c r="B14" s="376" t="s">
        <v>1198</v>
      </c>
      <c r="C14" s="381" t="s">
        <v>1808</v>
      </c>
      <c r="D14" s="378" t="s">
        <v>55</v>
      </c>
      <c r="E14" s="379" t="s">
        <v>1130</v>
      </c>
      <c r="F14" s="391">
        <f>IFERROR(IF(CA15.05!D36&lt;&gt;0,AL09.01!B7/CA15.05!D36,0),0)</f>
        <v>0</v>
      </c>
      <c r="G14" s="885">
        <v>0.02</v>
      </c>
      <c r="H14" s="887">
        <f t="shared" si="0"/>
        <v>-0.02</v>
      </c>
    </row>
    <row r="15" spans="2:10" ht="36">
      <c r="B15" s="376" t="s">
        <v>1199</v>
      </c>
      <c r="C15" s="381" t="s">
        <v>1809</v>
      </c>
      <c r="D15" s="378" t="s">
        <v>56</v>
      </c>
      <c r="E15" s="379" t="s">
        <v>1122</v>
      </c>
      <c r="F15" s="391">
        <f>IFERROR(AL09.01!K9/CA15.05!D36,0)</f>
        <v>0</v>
      </c>
      <c r="G15" s="885">
        <v>0.1</v>
      </c>
      <c r="H15" s="887">
        <f t="shared" si="0"/>
        <v>-0.1</v>
      </c>
    </row>
    <row r="16" spans="2:10" ht="36">
      <c r="B16" s="376" t="s">
        <v>1200</v>
      </c>
      <c r="C16" s="377" t="s">
        <v>1810</v>
      </c>
      <c r="D16" s="382" t="s">
        <v>58</v>
      </c>
      <c r="E16" s="379" t="s">
        <v>1123</v>
      </c>
      <c r="F16" s="767">
        <f>IFERROR((SI04.01!D26+SI04.01!D30+SI04.01!D31+SI04.01!D52+SI04.01!D56+SI04.01!D57+SI04.01!D78+SI04.01!D82+SI04.01!D83)/CA15.05!D36,0)</f>
        <v>0</v>
      </c>
      <c r="G16" s="885">
        <v>0.1</v>
      </c>
      <c r="H16" s="887">
        <f t="shared" si="0"/>
        <v>-0.1</v>
      </c>
    </row>
    <row r="17" spans="2:11" ht="36">
      <c r="B17" s="1081" t="s">
        <v>1002</v>
      </c>
      <c r="C17" s="1082" t="s">
        <v>2610</v>
      </c>
      <c r="D17" s="1083" t="s">
        <v>2611</v>
      </c>
      <c r="E17" s="1084" t="s">
        <v>2612</v>
      </c>
      <c r="F17" s="1085" t="e">
        <f>BL01.02!D29/CA15.05!D36</f>
        <v>#DIV/0!</v>
      </c>
      <c r="G17" s="1086">
        <v>3</v>
      </c>
      <c r="H17" s="1087" t="e">
        <f>F17-G17</f>
        <v>#DIV/0!</v>
      </c>
      <c r="K17" s="804"/>
    </row>
    <row r="18" spans="2:11" ht="34.5" customHeight="1">
      <c r="B18" s="390" t="s">
        <v>516</v>
      </c>
      <c r="C18" s="377" t="s">
        <v>1813</v>
      </c>
      <c r="D18" s="382" t="s">
        <v>520</v>
      </c>
      <c r="E18" s="379" t="s">
        <v>1124</v>
      </c>
      <c r="F18" s="767">
        <f>IFERROR(IF(FX19.01!L9&gt;FX19.01!M9,(FX19.01!L9-FX19.01!M9)/CA15.05!D36,0),0)</f>
        <v>0</v>
      </c>
      <c r="G18" s="885">
        <v>0.2</v>
      </c>
      <c r="H18" s="887">
        <f t="shared" ref="H18:H27" si="1">F18-G18</f>
        <v>-0.2</v>
      </c>
    </row>
    <row r="19" spans="2:11" ht="33" customHeight="1">
      <c r="B19" s="390" t="s">
        <v>517</v>
      </c>
      <c r="C19" s="377" t="s">
        <v>1814</v>
      </c>
      <c r="D19" s="382" t="s">
        <v>520</v>
      </c>
      <c r="E19" s="379" t="s">
        <v>1127</v>
      </c>
      <c r="F19" s="767">
        <f>IFERROR(IF(FX19.01!L9&lt;FX19.01!M9,(FX19.01!M9-FX19.01!L9)/CA15.05!D36,0),0)</f>
        <v>0</v>
      </c>
      <c r="G19" s="885">
        <v>0.2</v>
      </c>
      <c r="H19" s="887">
        <f t="shared" si="1"/>
        <v>-0.2</v>
      </c>
    </row>
    <row r="20" spans="2:11" ht="34.5" customHeight="1">
      <c r="B20" s="390" t="s">
        <v>518</v>
      </c>
      <c r="C20" s="377" t="s">
        <v>1813</v>
      </c>
      <c r="D20" s="378" t="s">
        <v>1751</v>
      </c>
      <c r="E20" s="379" t="s">
        <v>1125</v>
      </c>
      <c r="F20" s="767">
        <f>IFERROR(IF(FX19.01!J9&gt;FX19.01!K9,(FX19.01!J9-FX19.01!K9)/CA15.05!D36,0),0)</f>
        <v>0</v>
      </c>
      <c r="G20" s="885">
        <v>0.1</v>
      </c>
      <c r="H20" s="887">
        <f t="shared" si="1"/>
        <v>-0.1</v>
      </c>
    </row>
    <row r="21" spans="2:11" ht="34.5" customHeight="1">
      <c r="B21" s="390" t="s">
        <v>519</v>
      </c>
      <c r="C21" s="377" t="s">
        <v>1814</v>
      </c>
      <c r="D21" s="378" t="s">
        <v>1752</v>
      </c>
      <c r="E21" s="379" t="s">
        <v>1125</v>
      </c>
      <c r="F21" s="767">
        <f>IFERROR(IF(FX19.01!J9&lt;FX19.01!K9,(FX19.01!K9-FX19.01!J9)/CA15.05!D36,0),0)</f>
        <v>0</v>
      </c>
      <c r="G21" s="885">
        <v>0.1</v>
      </c>
      <c r="H21" s="887">
        <f t="shared" si="1"/>
        <v>-0.1</v>
      </c>
    </row>
    <row r="22" spans="2:11" ht="34.5" customHeight="1">
      <c r="B22" s="390" t="s">
        <v>1755</v>
      </c>
      <c r="C22" s="377" t="s">
        <v>1813</v>
      </c>
      <c r="D22" s="378" t="s">
        <v>1753</v>
      </c>
      <c r="E22" s="379" t="s">
        <v>1126</v>
      </c>
      <c r="F22" s="767">
        <f>IFERROR(IF(FX19.01!H9&gt;FX19.01!I9,(FX19.01!H9-FX19.01!I9)/CA15.05!D36,0),0)</f>
        <v>0</v>
      </c>
      <c r="G22" s="885">
        <v>0.1</v>
      </c>
      <c r="H22" s="887">
        <f t="shared" si="1"/>
        <v>-0.1</v>
      </c>
    </row>
    <row r="23" spans="2:11" ht="34.5" customHeight="1">
      <c r="B23" s="390" t="s">
        <v>1756</v>
      </c>
      <c r="C23" s="377" t="s">
        <v>1814</v>
      </c>
      <c r="D23" s="378" t="s">
        <v>1754</v>
      </c>
      <c r="E23" s="379" t="s">
        <v>1126</v>
      </c>
      <c r="F23" s="767">
        <f>IFERROR(IF(FX19.01!H9&lt;FX19.01!I9,(FX19.01!I9-FX19.01!H9)/CA15.05!D36,0),0)</f>
        <v>0</v>
      </c>
      <c r="G23" s="885">
        <v>0.1</v>
      </c>
      <c r="H23" s="887">
        <f t="shared" si="1"/>
        <v>-0.1</v>
      </c>
    </row>
    <row r="24" spans="2:11" ht="34.5" customHeight="1">
      <c r="B24" s="390" t="s">
        <v>1757</v>
      </c>
      <c r="C24" s="377" t="s">
        <v>1813</v>
      </c>
      <c r="D24" s="378" t="s">
        <v>1758</v>
      </c>
      <c r="E24" s="379" t="s">
        <v>1128</v>
      </c>
      <c r="F24" s="767">
        <f>IFERROR(SUM((FX19.01!E9)/CA15.05!D36,0),0)</f>
        <v>0</v>
      </c>
      <c r="G24" s="885">
        <v>0.08</v>
      </c>
      <c r="H24" s="887">
        <f t="shared" si="1"/>
        <v>-0.08</v>
      </c>
    </row>
    <row r="25" spans="2:11" ht="34.5" customHeight="1">
      <c r="B25" s="390" t="s">
        <v>1760</v>
      </c>
      <c r="C25" s="377" t="s">
        <v>1814</v>
      </c>
      <c r="D25" s="378" t="s">
        <v>1759</v>
      </c>
      <c r="E25" s="379" t="s">
        <v>1128</v>
      </c>
      <c r="F25" s="767">
        <f>IFERROR(SUM((FX19.01!G9)/CA15.05!D36,0),0)</f>
        <v>0</v>
      </c>
      <c r="G25" s="885">
        <v>0.08</v>
      </c>
      <c r="H25" s="887">
        <f t="shared" si="1"/>
        <v>-0.08</v>
      </c>
    </row>
    <row r="26" spans="2:11" ht="34.5" customHeight="1">
      <c r="B26" s="390" t="s">
        <v>1761</v>
      </c>
      <c r="C26" s="377" t="s">
        <v>1813</v>
      </c>
      <c r="D26" s="378" t="s">
        <v>1762</v>
      </c>
      <c r="E26" s="379" t="s">
        <v>1129</v>
      </c>
      <c r="F26" s="767">
        <f>IFERROR(SUM((FX19.01!D9)/CA15.05!D36,0),0)</f>
        <v>0</v>
      </c>
      <c r="G26" s="885">
        <v>0.08</v>
      </c>
      <c r="H26" s="887">
        <f t="shared" si="1"/>
        <v>-0.08</v>
      </c>
    </row>
    <row r="27" spans="2:11" ht="34.5" customHeight="1">
      <c r="B27" s="390" t="s">
        <v>877</v>
      </c>
      <c r="C27" s="377" t="s">
        <v>1814</v>
      </c>
      <c r="D27" s="378" t="s">
        <v>1763</v>
      </c>
      <c r="E27" s="379" t="s">
        <v>1129</v>
      </c>
      <c r="F27" s="767">
        <f>IFERROR(SUM((FX19.01!F9)/CA15.05!D36,0),0)</f>
        <v>0</v>
      </c>
      <c r="G27" s="885">
        <v>0.08</v>
      </c>
      <c r="H27" s="887">
        <f t="shared" si="1"/>
        <v>-0.08</v>
      </c>
    </row>
  </sheetData>
  <sheetProtection password="E9D4" sheet="1" objects="1" scenarios="1" formatCells="0" formatColumns="0" formatRows="0" insertColumns="0" insertRows="0" insertHyperlinks="0" deleteColumns="0" deleteRows="0" sort="0" autoFilter="0" pivotTables="0"/>
  <customSheetViews>
    <customSheetView guid="{871F8275-217B-436F-8813-871F820F0EE4}" scale="90" showPageBreaks="1" showGridLines="0" printArea="1" view="pageBreakPreview">
      <selection activeCell="F16" sqref="F16"/>
      <pageMargins left="0.31496062992125984" right="0.31496062992125984" top="0.23622047244094491" bottom="0.23622047244094491" header="0.19685039370078741" footer="0.19685039370078741"/>
      <pageSetup paperSize="9" scale="69" orientation="landscape" r:id="rId1"/>
      <headerFooter alignWithMargins="0">
        <oddFooter>&amp;L&amp;7&amp;D&amp;C&amp;7&amp;P&amp;R&amp;7&amp;F</oddFooter>
      </headerFooter>
    </customSheetView>
    <customSheetView guid="{2EBF18CB-80C9-43ED-A978-2AAEAC40933E}" scale="75" showGridLines="0" showRuler="0">
      <selection activeCell="G15" sqref="G15"/>
      <pageMargins left="0.31496062992125984" right="0.31496062992125984" top="0.31496062992125984" bottom="0.31496062992125984" header="0.19685039370078741" footer="0.19685039370078741"/>
      <pageSetup paperSize="9" scale="70" orientation="landscape" horizontalDpi="300" verticalDpi="300" r:id="rId2"/>
      <headerFooter alignWithMargins="0">
        <oddFooter>&amp;L&amp;7&amp;D&amp;C&amp;7&amp;P&amp;R&amp;7&amp;F</oddFooter>
      </headerFooter>
    </customSheetView>
    <customSheetView guid="{47D3AB49-9599-4A16-951B-F48FEC1C0136}" scale="75" showGridLines="0">
      <selection activeCell="F10" sqref="F10"/>
      <pageMargins left="0.31496062992125984" right="0.31496062992125984" top="0.31496062992125984" bottom="0.31496062992125984" header="0.19685039370078741" footer="0.19685039370078741"/>
      <pageSetup paperSize="9" scale="70" orientation="landscape" horizontalDpi="300" verticalDpi="300" r:id="rId3"/>
      <headerFooter alignWithMargins="0">
        <oddFooter>&amp;L&amp;7&amp;D&amp;C&amp;7&amp;P&amp;R&amp;7&amp;F</oddFooter>
      </headerFooter>
    </customSheetView>
    <customSheetView guid="{ECE607A2-8A26-46E0-8BDC-E9AD788F604C}" scale="90" showPageBreaks="1" showGridLines="0" printArea="1" view="pageBreakPreview">
      <selection activeCell="D8" sqref="D8"/>
      <pageMargins left="0.31496062992125984" right="0.31496062992125984" top="0.23622047244094491" bottom="0.23622047244094491" header="0.19685039370078741" footer="0.19685039370078741"/>
      <pageSetup paperSize="9" scale="69" orientation="landscape" r:id="rId4"/>
      <headerFooter alignWithMargins="0">
        <oddFooter>&amp;L&amp;7&amp;D&amp;C&amp;7&amp;P&amp;R&amp;7&amp;F</oddFooter>
      </headerFooter>
    </customSheetView>
    <customSheetView guid="{FB1E0752-409C-4E7D-BCFE-7AEBEB8B5F0D}" scale="90" showPageBreaks="1" showGridLines="0" printArea="1" view="pageBreakPreview">
      <selection activeCell="D10" sqref="D10"/>
      <pageMargins left="0.31496062992125984" right="0.31496062992125984" top="0.23622047244094491" bottom="0.23622047244094491" header="0.19685039370078741" footer="0.19685039370078741"/>
      <pageSetup paperSize="9" scale="69" orientation="landscape" r:id="rId5"/>
      <headerFooter alignWithMargins="0">
        <oddFooter>&amp;L&amp;7&amp;D&amp;C&amp;7&amp;P&amp;R&amp;7&amp;F</oddFooter>
      </headerFooter>
    </customSheetView>
  </customSheetViews>
  <mergeCells count="1">
    <mergeCell ref="G1:H2"/>
  </mergeCells>
  <phoneticPr fontId="0" type="noConversion"/>
  <pageMargins left="0.31496062992125984" right="0.31496062992125984" top="0.23622047244094491" bottom="0.23622047244094491" header="0.19685039370078741" footer="0.19685039370078741"/>
  <pageSetup paperSize="9" scale="66" orientation="landscape" r:id="rId6"/>
  <headerFooter alignWithMargins="0">
    <oddFooter>&amp;L&amp;7&amp;D&amp;C&amp;7&amp;P&amp;R&amp;7&amp;F</oddFooter>
  </headerFooter>
</worksheet>
</file>

<file path=xl/worksheets/sheet32.xml><?xml version="1.0" encoding="utf-8"?>
<worksheet xmlns="http://schemas.openxmlformats.org/spreadsheetml/2006/main" xmlns:r="http://schemas.openxmlformats.org/officeDocument/2006/relationships">
  <sheetPr codeName="Лист32"/>
  <dimension ref="B1:F30"/>
  <sheetViews>
    <sheetView workbookViewId="0"/>
  </sheetViews>
  <sheetFormatPr defaultRowHeight="18"/>
  <cols>
    <col min="1" max="1" width="1.5703125" style="91" customWidth="1"/>
    <col min="2" max="2" width="11.28515625" style="91" customWidth="1"/>
    <col min="3" max="3" width="71.140625" style="91" customWidth="1"/>
    <col min="4" max="4" width="24.85546875" style="91" customWidth="1"/>
    <col min="5" max="5" width="11.5703125" style="91" customWidth="1"/>
    <col min="6" max="6" width="21.140625" style="91" customWidth="1"/>
    <col min="7" max="16384" width="9.140625" style="91"/>
  </cols>
  <sheetData>
    <row r="1" spans="2:6" s="87" customFormat="1" ht="33" customHeight="1">
      <c r="B1" s="746"/>
      <c r="C1" s="558"/>
      <c r="D1" s="1167" t="s">
        <v>1872</v>
      </c>
      <c r="E1" s="1173"/>
      <c r="F1" s="1173"/>
    </row>
    <row r="2" spans="2:6" s="87" customFormat="1">
      <c r="C2" s="39" t="str">
        <f>T!E18</f>
        <v>Номгӯи ташкилоти қарзӣ</v>
      </c>
      <c r="D2" s="747"/>
      <c r="E2" s="558"/>
      <c r="F2" s="86"/>
    </row>
    <row r="3" spans="2:6" s="87" customFormat="1">
      <c r="C3" s="562" t="str">
        <f>T!B10</f>
        <v>Ҳисобот дар санаи</v>
      </c>
      <c r="D3" s="1247"/>
      <c r="E3" s="1247"/>
      <c r="F3" s="1247"/>
    </row>
    <row r="4" spans="2:6" s="87" customFormat="1">
      <c r="C4" s="562" t="str">
        <f>'List of Scedules'!B31</f>
        <v>ҶАДВАЛИ 15.01. ҲИСОБОТ ОИД БА КИФОЯТИИ САРМОЯ</v>
      </c>
      <c r="D4" s="558"/>
      <c r="E4" s="558"/>
      <c r="F4" s="558"/>
    </row>
    <row r="5" spans="2:6" ht="19.5">
      <c r="B5" s="748"/>
      <c r="C5" s="749"/>
      <c r="D5" s="750"/>
      <c r="E5" s="750"/>
      <c r="F5" s="751"/>
    </row>
    <row r="6" spans="2:6" ht="72">
      <c r="B6" s="493"/>
      <c r="C6" s="493" t="s">
        <v>1360</v>
      </c>
      <c r="D6" s="494" t="s">
        <v>1361</v>
      </c>
      <c r="E6" s="494" t="s">
        <v>981</v>
      </c>
      <c r="F6" s="494" t="s">
        <v>1362</v>
      </c>
    </row>
    <row r="7" spans="2:6">
      <c r="B7" s="495" t="s">
        <v>1204</v>
      </c>
      <c r="C7" s="496" t="s">
        <v>1769</v>
      </c>
      <c r="D7" s="9"/>
      <c r="E7" s="498">
        <v>0</v>
      </c>
      <c r="F7" s="499">
        <f>+D7*E7</f>
        <v>0</v>
      </c>
    </row>
    <row r="8" spans="2:6">
      <c r="B8" s="500" t="s">
        <v>1205</v>
      </c>
      <c r="C8" s="496" t="s">
        <v>1363</v>
      </c>
      <c r="D8" s="9"/>
      <c r="E8" s="498">
        <v>0</v>
      </c>
      <c r="F8" s="499">
        <f>+D8*E8</f>
        <v>0</v>
      </c>
    </row>
    <row r="9" spans="2:6">
      <c r="B9" s="500" t="s">
        <v>1206</v>
      </c>
      <c r="C9" s="496" t="s">
        <v>1253</v>
      </c>
      <c r="D9" s="497">
        <v>0</v>
      </c>
      <c r="E9" s="498">
        <v>0</v>
      </c>
      <c r="F9" s="499">
        <f>+D9*E9</f>
        <v>0</v>
      </c>
    </row>
    <row r="10" spans="2:6" ht="36">
      <c r="B10" s="495" t="s">
        <v>1207</v>
      </c>
      <c r="C10" s="501" t="s">
        <v>1132</v>
      </c>
      <c r="D10" s="499">
        <f>SUM(D11:D14)</f>
        <v>0</v>
      </c>
      <c r="E10" s="502"/>
      <c r="F10" s="499">
        <f>SUM(F11:F14)</f>
        <v>0</v>
      </c>
    </row>
    <row r="11" spans="2:6">
      <c r="B11" s="500" t="s">
        <v>1208</v>
      </c>
      <c r="C11" s="496" t="s">
        <v>1364</v>
      </c>
      <c r="D11" s="9"/>
      <c r="E11" s="498">
        <v>0.7</v>
      </c>
      <c r="F11" s="499">
        <f>+D11*E11</f>
        <v>0</v>
      </c>
    </row>
    <row r="12" spans="2:6">
      <c r="B12" s="495" t="s">
        <v>1209</v>
      </c>
      <c r="C12" s="496" t="s">
        <v>1365</v>
      </c>
      <c r="D12" s="497">
        <v>0</v>
      </c>
      <c r="E12" s="498">
        <v>0.7</v>
      </c>
      <c r="F12" s="499">
        <f>+D12*E12</f>
        <v>0</v>
      </c>
    </row>
    <row r="13" spans="2:6">
      <c r="B13" s="500" t="s">
        <v>1210</v>
      </c>
      <c r="C13" s="496" t="s">
        <v>1366</v>
      </c>
      <c r="D13" s="497">
        <v>0</v>
      </c>
      <c r="E13" s="498">
        <v>0.7</v>
      </c>
      <c r="F13" s="499">
        <f>+D13*E13</f>
        <v>0</v>
      </c>
    </row>
    <row r="14" spans="2:6" s="24" customFormat="1">
      <c r="B14" s="495" t="s">
        <v>1211</v>
      </c>
      <c r="C14" s="496" t="s">
        <v>1302</v>
      </c>
      <c r="D14" s="497">
        <v>0</v>
      </c>
      <c r="E14" s="498">
        <v>0.7</v>
      </c>
      <c r="F14" s="499">
        <f>+D14*E14</f>
        <v>0</v>
      </c>
    </row>
    <row r="15" spans="2:6" s="24" customFormat="1">
      <c r="B15" s="500" t="s">
        <v>1212</v>
      </c>
      <c r="C15" s="501" t="s">
        <v>1367</v>
      </c>
      <c r="D15" s="499">
        <f>SUM(D16:D19)</f>
        <v>0</v>
      </c>
      <c r="E15" s="502"/>
      <c r="F15" s="499">
        <f>SUM(F16:F19)</f>
        <v>0</v>
      </c>
    </row>
    <row r="16" spans="2:6">
      <c r="B16" s="495" t="s">
        <v>1213</v>
      </c>
      <c r="C16" s="496" t="s">
        <v>1364</v>
      </c>
      <c r="D16" s="9">
        <v>0</v>
      </c>
      <c r="E16" s="498">
        <v>0.7</v>
      </c>
      <c r="F16" s="499">
        <f>+D16*E16</f>
        <v>0</v>
      </c>
    </row>
    <row r="17" spans="2:6">
      <c r="B17" s="500" t="s">
        <v>1214</v>
      </c>
      <c r="C17" s="496" t="s">
        <v>1365</v>
      </c>
      <c r="D17" s="9">
        <v>0</v>
      </c>
      <c r="E17" s="498">
        <v>0.7</v>
      </c>
      <c r="F17" s="499">
        <f>+D17*E17</f>
        <v>0</v>
      </c>
    </row>
    <row r="18" spans="2:6">
      <c r="B18" s="495" t="s">
        <v>1215</v>
      </c>
      <c r="C18" s="496" t="s">
        <v>1366</v>
      </c>
      <c r="D18" s="9">
        <v>0</v>
      </c>
      <c r="E18" s="498">
        <v>0.7</v>
      </c>
      <c r="F18" s="499">
        <f>+D18*E18</f>
        <v>0</v>
      </c>
    </row>
    <row r="19" spans="2:6">
      <c r="B19" s="500" t="s">
        <v>1216</v>
      </c>
      <c r="C19" s="496" t="s">
        <v>1302</v>
      </c>
      <c r="D19" s="497">
        <v>0</v>
      </c>
      <c r="E19" s="498">
        <v>0.7</v>
      </c>
      <c r="F19" s="499">
        <f>+D19*E19</f>
        <v>0</v>
      </c>
    </row>
    <row r="20" spans="2:6" ht="36">
      <c r="B20" s="495" t="s">
        <v>1217</v>
      </c>
      <c r="C20" s="501" t="s">
        <v>1131</v>
      </c>
      <c r="D20" s="499">
        <f>SUM(D21:D24)</f>
        <v>0</v>
      </c>
      <c r="E20" s="502"/>
      <c r="F20" s="499">
        <f>SUM(F21:F24)</f>
        <v>0</v>
      </c>
    </row>
    <row r="21" spans="2:6">
      <c r="B21" s="500" t="s">
        <v>1218</v>
      </c>
      <c r="C21" s="496" t="s">
        <v>1364</v>
      </c>
      <c r="D21" s="9"/>
      <c r="E21" s="498">
        <v>0.7</v>
      </c>
      <c r="F21" s="499">
        <f>+D21*E21</f>
        <v>0</v>
      </c>
    </row>
    <row r="22" spans="2:6">
      <c r="B22" s="495" t="s">
        <v>1219</v>
      </c>
      <c r="C22" s="496" t="s">
        <v>1365</v>
      </c>
      <c r="D22" s="9">
        <v>0</v>
      </c>
      <c r="E22" s="498">
        <v>0.7</v>
      </c>
      <c r="F22" s="499">
        <f>+D22*E22</f>
        <v>0</v>
      </c>
    </row>
    <row r="23" spans="2:6">
      <c r="B23" s="500" t="s">
        <v>1220</v>
      </c>
      <c r="C23" s="496" t="s">
        <v>1366</v>
      </c>
      <c r="D23" s="9">
        <v>0</v>
      </c>
      <c r="E23" s="498">
        <v>0.7</v>
      </c>
      <c r="F23" s="499">
        <f>+D23*E23</f>
        <v>0</v>
      </c>
    </row>
    <row r="24" spans="2:6">
      <c r="B24" s="495" t="s">
        <v>1221</v>
      </c>
      <c r="C24" s="496" t="s">
        <v>1302</v>
      </c>
      <c r="D24" s="497">
        <v>0</v>
      </c>
      <c r="E24" s="498">
        <v>0.7</v>
      </c>
      <c r="F24" s="499">
        <f>+D24*E24</f>
        <v>0</v>
      </c>
    </row>
    <row r="25" spans="2:6" ht="36">
      <c r="B25" s="500" t="s">
        <v>1222</v>
      </c>
      <c r="C25" s="503" t="s">
        <v>1294</v>
      </c>
      <c r="D25" s="499">
        <f>SUM(D26:D28)</f>
        <v>0</v>
      </c>
      <c r="E25" s="502"/>
      <c r="F25" s="499">
        <f>SUM(F26:F28)</f>
        <v>0</v>
      </c>
    </row>
    <row r="26" spans="2:6" ht="36">
      <c r="B26" s="495" t="s">
        <v>1223</v>
      </c>
      <c r="C26" s="496" t="s">
        <v>1368</v>
      </c>
      <c r="D26" s="497">
        <v>0</v>
      </c>
      <c r="E26" s="498">
        <v>0.7</v>
      </c>
      <c r="F26" s="499">
        <f>+D26*E26</f>
        <v>0</v>
      </c>
    </row>
    <row r="27" spans="2:6">
      <c r="B27" s="500" t="s">
        <v>1224</v>
      </c>
      <c r="C27" s="496" t="s">
        <v>1369</v>
      </c>
      <c r="D27" s="497">
        <v>0</v>
      </c>
      <c r="E27" s="498">
        <v>0.7</v>
      </c>
      <c r="F27" s="499">
        <f>+D27*E27</f>
        <v>0</v>
      </c>
    </row>
    <row r="28" spans="2:6">
      <c r="B28" s="495" t="s">
        <v>1225</v>
      </c>
      <c r="C28" s="496" t="s">
        <v>1370</v>
      </c>
      <c r="D28" s="497">
        <v>0</v>
      </c>
      <c r="E28" s="498">
        <v>0.7</v>
      </c>
      <c r="F28" s="499">
        <f>+D28*E28</f>
        <v>0</v>
      </c>
    </row>
    <row r="30" spans="2:6">
      <c r="D30" s="752"/>
    </row>
  </sheetData>
  <sheetProtection password="E9D4" sheet="1"/>
  <customSheetViews>
    <customSheetView guid="{871F8275-217B-436F-8813-871F820F0EE4}" scale="85" showPageBreaks="1" showGridLines="0" view="pageBreakPreview" topLeftCell="A4">
      <selection activeCell="D21" activeCellId="1" sqref="D11 D21"/>
      <pageMargins left="0.31496062992125984" right="0.31496062992125984" top="0.39370078740157483" bottom="0.39370078740157483" header="0.19685039370078741" footer="0.19685039370078741"/>
      <pageSetup paperSize="9" scale="70" orientation="portrait" r:id="rId1"/>
      <headerFooter alignWithMargins="0">
        <oddFooter>&amp;L&amp;7&amp;D&amp;C&amp;7&amp;P&amp;R&amp;7&amp;F</oddFooter>
      </headerFooter>
    </customSheetView>
    <customSheetView guid="{2EBF18CB-80C9-43ED-A978-2AAEAC40933E}" scale="75" showGridLines="0" showRuler="0" topLeftCell="A6">
      <selection activeCell="D31" sqref="D31"/>
      <pageMargins left="0.31496062992125984" right="0.31496062992125984" top="0.39370078740157483" bottom="0.39370078740157483" header="0.19685039370078741" footer="0.19685039370078741"/>
      <pageSetup paperSize="9" scale="70" orientation="portrait" horizontalDpi="300" verticalDpi="300" r:id="rId2"/>
      <headerFooter alignWithMargins="0">
        <oddFooter>&amp;L&amp;7&amp;D&amp;C&amp;7&amp;P&amp;R&amp;7&amp;F</oddFooter>
      </headerFooter>
    </customSheetView>
    <customSheetView guid="{47D3AB49-9599-4A16-951B-F48FEC1C0136}" scale="75" showGridLines="0" topLeftCell="A16">
      <selection activeCell="D21" sqref="D21"/>
      <pageMargins left="0.31496062992125984" right="0.31496062992125984" top="0.39370078740157483" bottom="0.39370078740157483" header="0.19685039370078741" footer="0.19685039370078741"/>
      <pageSetup paperSize="9" scale="70" orientation="portrait" horizontalDpi="300" verticalDpi="300" r:id="rId3"/>
      <headerFooter alignWithMargins="0">
        <oddFooter>&amp;L&amp;7&amp;D&amp;C&amp;7&amp;P&amp;R&amp;7&amp;F</oddFooter>
      </headerFooter>
    </customSheetView>
    <customSheetView guid="{ECE607A2-8A26-46E0-8BDC-E9AD788F604C}" scale="85" showPageBreaks="1" showGridLines="0" view="pageBreakPreview">
      <selection activeCell="C36" sqref="C36"/>
      <pageMargins left="0.31496062992125984" right="0.31496062992125984" top="0.39370078740157483" bottom="0.39370078740157483" header="0.19685039370078741" footer="0.19685039370078741"/>
      <pageSetup paperSize="9" scale="70" orientation="portrait" r:id="rId4"/>
      <headerFooter alignWithMargins="0">
        <oddFooter>&amp;L&amp;7&amp;D&amp;C&amp;7&amp;P&amp;R&amp;7&amp;F</oddFooter>
      </headerFooter>
    </customSheetView>
    <customSheetView guid="{FB1E0752-409C-4E7D-BCFE-7AEBEB8B5F0D}" scale="85" showPageBreaks="1" showGridLines="0" view="pageBreakPreview">
      <selection activeCell="D21" activeCellId="1" sqref="D11 D21"/>
      <pageMargins left="0.31496062992125984" right="0.31496062992125984" top="0.39370078740157483" bottom="0.39370078740157483" header="0.19685039370078741" footer="0.19685039370078741"/>
      <pageSetup paperSize="9" scale="70" orientation="portrait" r:id="rId5"/>
      <headerFooter alignWithMargins="0">
        <oddFooter>&amp;L&amp;7&amp;D&amp;C&amp;7&amp;P&amp;R&amp;7&amp;F</oddFooter>
      </headerFooter>
    </customSheetView>
  </customSheetViews>
  <mergeCells count="2">
    <mergeCell ref="D3:F3"/>
    <mergeCell ref="D1:F1"/>
  </mergeCells>
  <phoneticPr fontId="0" type="noConversion"/>
  <pageMargins left="0.31496062992125984" right="0.31496062992125984" top="0.39370078740157483" bottom="0.39370078740157483" header="0.19685039370078741" footer="0.19685039370078741"/>
  <pageSetup paperSize="9" scale="69" orientation="portrait" r:id="rId6"/>
  <headerFooter alignWithMargins="0">
    <oddFooter>&amp;L&amp;7&amp;D&amp;C&amp;7&amp;P&amp;R&amp;7&amp;F</oddFooter>
  </headerFooter>
</worksheet>
</file>

<file path=xl/worksheets/sheet33.xml><?xml version="1.0" encoding="utf-8"?>
<worksheet xmlns="http://schemas.openxmlformats.org/spreadsheetml/2006/main" xmlns:r="http://schemas.openxmlformats.org/officeDocument/2006/relationships">
  <sheetPr codeName="Лист33"/>
  <dimension ref="B1:F22"/>
  <sheetViews>
    <sheetView workbookViewId="0"/>
  </sheetViews>
  <sheetFormatPr defaultRowHeight="15"/>
  <cols>
    <col min="1" max="1" width="2.140625" style="216" customWidth="1"/>
    <col min="2" max="2" width="11.5703125" style="216" customWidth="1"/>
    <col min="3" max="3" width="64.7109375" style="216" customWidth="1"/>
    <col min="4" max="4" width="26.42578125" style="216" customWidth="1"/>
    <col min="5" max="5" width="13.7109375" style="216" bestFit="1" customWidth="1"/>
    <col min="6" max="6" width="20.85546875" style="216" customWidth="1"/>
    <col min="7" max="16384" width="9.140625" style="216"/>
  </cols>
  <sheetData>
    <row r="1" spans="2:6" s="334" customFormat="1" ht="33" customHeight="1">
      <c r="B1" s="753"/>
      <c r="C1" s="558"/>
      <c r="D1" s="1189" t="s">
        <v>1872</v>
      </c>
      <c r="E1" s="1173"/>
      <c r="F1" s="1173"/>
    </row>
    <row r="2" spans="2:6" s="334" customFormat="1" ht="18">
      <c r="B2" s="335"/>
      <c r="C2" s="39" t="str">
        <f>T!E18</f>
        <v>Номгӯи ташкилоти қарзӣ</v>
      </c>
      <c r="D2" s="754"/>
      <c r="E2" s="558"/>
      <c r="F2" s="86"/>
    </row>
    <row r="3" spans="2:6" s="334" customFormat="1" ht="18">
      <c r="B3" s="753"/>
      <c r="C3" s="562" t="str">
        <f>T!B10</f>
        <v>Ҳисобот дар санаи</v>
      </c>
      <c r="D3" s="1248"/>
      <c r="E3" s="1248"/>
      <c r="F3" s="1248"/>
    </row>
    <row r="4" spans="2:6" s="334" customFormat="1" ht="18">
      <c r="B4" s="756"/>
      <c r="C4" s="562" t="str">
        <f>'List of Scedules'!B32</f>
        <v>ҶАДВАЛИ 15.02. ҲИСОБОТ ОИД БА КИФОЯТИИ САРМОЯ</v>
      </c>
      <c r="D4" s="754"/>
      <c r="E4" s="558"/>
      <c r="F4" s="558"/>
    </row>
    <row r="5" spans="2:6" ht="18">
      <c r="B5" s="757"/>
      <c r="C5" s="757"/>
      <c r="D5" s="757"/>
      <c r="E5" s="757"/>
      <c r="F5" s="757"/>
    </row>
    <row r="6" spans="2:6" ht="72">
      <c r="B6" s="504"/>
      <c r="C6" s="505" t="s">
        <v>1360</v>
      </c>
      <c r="D6" s="494" t="s">
        <v>1361</v>
      </c>
      <c r="E6" s="494" t="s">
        <v>981</v>
      </c>
      <c r="F6" s="494" t="s">
        <v>1362</v>
      </c>
    </row>
    <row r="7" spans="2:6" ht="18">
      <c r="B7" s="506" t="s">
        <v>1226</v>
      </c>
      <c r="C7" s="507" t="s">
        <v>1627</v>
      </c>
      <c r="D7" s="9"/>
      <c r="E7" s="508">
        <v>0</v>
      </c>
      <c r="F7" s="509">
        <f>+D7*E7</f>
        <v>0</v>
      </c>
    </row>
    <row r="8" spans="2:6" ht="18">
      <c r="B8" s="510" t="s">
        <v>1227</v>
      </c>
      <c r="C8" s="507" t="s">
        <v>1371</v>
      </c>
      <c r="D8" s="60"/>
      <c r="E8" s="508">
        <v>0</v>
      </c>
      <c r="F8" s="509">
        <f t="shared" ref="F8:F19" si="0">+D8*E8</f>
        <v>0</v>
      </c>
    </row>
    <row r="9" spans="2:6" ht="18">
      <c r="B9" s="510" t="s">
        <v>1228</v>
      </c>
      <c r="C9" s="511" t="s">
        <v>1133</v>
      </c>
      <c r="D9" s="60"/>
      <c r="E9" s="508">
        <v>0.7</v>
      </c>
      <c r="F9" s="509">
        <f t="shared" si="0"/>
        <v>0</v>
      </c>
    </row>
    <row r="10" spans="2:6" ht="18">
      <c r="B10" s="510" t="s">
        <v>1229</v>
      </c>
      <c r="C10" s="511" t="s">
        <v>1134</v>
      </c>
      <c r="D10" s="60">
        <v>0</v>
      </c>
      <c r="E10" s="508">
        <v>0.7</v>
      </c>
      <c r="F10" s="509">
        <f t="shared" si="0"/>
        <v>0</v>
      </c>
    </row>
    <row r="11" spans="2:6" ht="36">
      <c r="B11" s="510" t="s">
        <v>1230</v>
      </c>
      <c r="C11" s="512" t="s">
        <v>1135</v>
      </c>
      <c r="D11" s="60">
        <v>0</v>
      </c>
      <c r="E11" s="513">
        <v>0.7</v>
      </c>
      <c r="F11" s="509">
        <f t="shared" si="0"/>
        <v>0</v>
      </c>
    </row>
    <row r="12" spans="2:6" ht="17.25" customHeight="1">
      <c r="B12" s="510" t="s">
        <v>1231</v>
      </c>
      <c r="C12" s="512" t="s">
        <v>1136</v>
      </c>
      <c r="D12" s="60">
        <v>0</v>
      </c>
      <c r="E12" s="513">
        <v>0.7</v>
      </c>
      <c r="F12" s="509">
        <f t="shared" si="0"/>
        <v>0</v>
      </c>
    </row>
    <row r="13" spans="2:6" ht="36">
      <c r="B13" s="510" t="s">
        <v>1232</v>
      </c>
      <c r="C13" s="512" t="s">
        <v>1137</v>
      </c>
      <c r="D13" s="60">
        <v>0</v>
      </c>
      <c r="E13" s="513">
        <v>0.7</v>
      </c>
      <c r="F13" s="509">
        <f t="shared" si="0"/>
        <v>0</v>
      </c>
    </row>
    <row r="14" spans="2:6" ht="36">
      <c r="B14" s="510" t="s">
        <v>1233</v>
      </c>
      <c r="C14" s="512" t="s">
        <v>1138</v>
      </c>
      <c r="D14" s="60">
        <v>0</v>
      </c>
      <c r="E14" s="513">
        <v>0.7</v>
      </c>
      <c r="F14" s="509">
        <f t="shared" si="0"/>
        <v>0</v>
      </c>
    </row>
    <row r="15" spans="2:6" ht="36">
      <c r="B15" s="510" t="s">
        <v>1234</v>
      </c>
      <c r="C15" s="512" t="s">
        <v>1139</v>
      </c>
      <c r="D15" s="60">
        <v>0</v>
      </c>
      <c r="E15" s="513">
        <v>0.7</v>
      </c>
      <c r="F15" s="509">
        <f t="shared" si="0"/>
        <v>0</v>
      </c>
    </row>
    <row r="16" spans="2:6" ht="36">
      <c r="B16" s="510" t="s">
        <v>1235</v>
      </c>
      <c r="C16" s="514" t="s">
        <v>1140</v>
      </c>
      <c r="D16" s="60">
        <v>0</v>
      </c>
      <c r="E16" s="513">
        <v>0.7</v>
      </c>
      <c r="F16" s="509">
        <f t="shared" si="0"/>
        <v>0</v>
      </c>
    </row>
    <row r="17" spans="2:6" ht="36">
      <c r="B17" s="510" t="s">
        <v>1236</v>
      </c>
      <c r="C17" s="512" t="s">
        <v>1141</v>
      </c>
      <c r="D17" s="60">
        <v>0</v>
      </c>
      <c r="E17" s="513">
        <v>0.7</v>
      </c>
      <c r="F17" s="509">
        <f t="shared" si="0"/>
        <v>0</v>
      </c>
    </row>
    <row r="18" spans="2:6" ht="36">
      <c r="B18" s="510" t="s">
        <v>1237</v>
      </c>
      <c r="C18" s="512" t="s">
        <v>1142</v>
      </c>
      <c r="D18" s="60"/>
      <c r="E18" s="513">
        <v>1</v>
      </c>
      <c r="F18" s="509">
        <f t="shared" si="0"/>
        <v>0</v>
      </c>
    </row>
    <row r="19" spans="2:6" ht="36">
      <c r="B19" s="510" t="s">
        <v>13</v>
      </c>
      <c r="C19" s="512" t="s">
        <v>1143</v>
      </c>
      <c r="D19" s="200">
        <v>0</v>
      </c>
      <c r="E19" s="513">
        <v>1</v>
      </c>
      <c r="F19" s="509">
        <f t="shared" si="0"/>
        <v>0</v>
      </c>
    </row>
    <row r="21" spans="2:6">
      <c r="D21" s="573"/>
    </row>
    <row r="22" spans="2:6">
      <c r="D22" s="573"/>
    </row>
  </sheetData>
  <sheetProtection password="E9D4" sheet="1"/>
  <customSheetViews>
    <customSheetView guid="{871F8275-217B-436F-8813-871F820F0EE4}" scale="85" showPageBreaks="1" showGridLines="0" view="pageBreakPreview">
      <selection activeCell="D16" sqref="D16"/>
      <pageMargins left="0.31496062992125984" right="0.31496062992125984" top="0.39370078740157483" bottom="0.39370078740157483" header="0.19685039370078741" footer="0.19685039370078741"/>
      <pageSetup paperSize="9" scale="70" orientation="portrait" r:id="rId1"/>
      <headerFooter alignWithMargins="0">
        <oddFooter>&amp;L&amp;7&amp;D&amp;C&amp;7&amp;P&amp;R&amp;7&amp;F</oddFooter>
      </headerFooter>
    </customSheetView>
    <customSheetView guid="{2EBF18CB-80C9-43ED-A978-2AAEAC40933E}" scale="75" showGridLines="0" showRuler="0">
      <selection activeCell="D15" sqref="D15"/>
      <pageMargins left="0.31496062992125984" right="0.31496062992125984" top="0.39370078740157483" bottom="0.39370078740157483" header="0.19685039370078741" footer="0.19685039370078741"/>
      <pageSetup paperSize="9" scale="70" orientation="portrait" r:id="rId2"/>
      <headerFooter alignWithMargins="0">
        <oddFooter>&amp;L&amp;7&amp;D&amp;C&amp;7&amp;P&amp;R&amp;7&amp;F</oddFooter>
      </headerFooter>
    </customSheetView>
    <customSheetView guid="{47D3AB49-9599-4A16-951B-F48FEC1C0136}" scale="75" showGridLines="0" topLeftCell="A4">
      <selection activeCell="D13" sqref="D13"/>
      <pageMargins left="0.31496062992125984" right="0.31496062992125984" top="0.39370078740157483" bottom="0.39370078740157483" header="0.19685039370078741" footer="0.19685039370078741"/>
      <pageSetup paperSize="9" scale="70" orientation="portrait" r:id="rId3"/>
      <headerFooter alignWithMargins="0">
        <oddFooter>&amp;L&amp;7&amp;D&amp;C&amp;7&amp;P&amp;R&amp;7&amp;F</oddFooter>
      </headerFooter>
    </customSheetView>
    <customSheetView guid="{ECE607A2-8A26-46E0-8BDC-E9AD788F604C}" scale="85" showPageBreaks="1" showGridLines="0" view="pageBreakPreview" topLeftCell="A7">
      <selection activeCell="D17" sqref="D17"/>
      <pageMargins left="0.31496062992125984" right="0.31496062992125984" top="0.39370078740157483" bottom="0.39370078740157483" header="0.19685039370078741" footer="0.19685039370078741"/>
      <pageSetup paperSize="9" scale="70" orientation="portrait" r:id="rId4"/>
      <headerFooter alignWithMargins="0">
        <oddFooter>&amp;L&amp;7&amp;D&amp;C&amp;7&amp;P&amp;R&amp;7&amp;F</oddFooter>
      </headerFooter>
    </customSheetView>
    <customSheetView guid="{FB1E0752-409C-4E7D-BCFE-7AEBEB8B5F0D}" scale="85" showPageBreaks="1" showGridLines="0" view="pageBreakPreview">
      <selection activeCell="D16" sqref="D16"/>
      <pageMargins left="0.31496062992125984" right="0.31496062992125984" top="0.39370078740157483" bottom="0.39370078740157483" header="0.19685039370078741" footer="0.19685039370078741"/>
      <pageSetup paperSize="9" scale="70" orientation="portrait" r:id="rId5"/>
      <headerFooter alignWithMargins="0">
        <oddFooter>&amp;L&amp;7&amp;D&amp;C&amp;7&amp;P&amp;R&amp;7&amp;F</oddFooter>
      </headerFooter>
    </customSheetView>
  </customSheetViews>
  <mergeCells count="2">
    <mergeCell ref="D3:F3"/>
    <mergeCell ref="D1:F1"/>
  </mergeCells>
  <phoneticPr fontId="0" type="noConversion"/>
  <pageMargins left="0.31496062992125984" right="0.31496062992125984" top="0.39370078740157483" bottom="0.39370078740157483" header="0.19685039370078741" footer="0.19685039370078741"/>
  <pageSetup paperSize="9" scale="70" orientation="portrait" r:id="rId6"/>
  <headerFooter alignWithMargins="0">
    <oddFooter>&amp;L&amp;7&amp;D&amp;C&amp;7&amp;P&amp;R&amp;7&amp;F</oddFooter>
  </headerFooter>
</worksheet>
</file>

<file path=xl/worksheets/sheet34.xml><?xml version="1.0" encoding="utf-8"?>
<worksheet xmlns="http://schemas.openxmlformats.org/spreadsheetml/2006/main" xmlns:r="http://schemas.openxmlformats.org/officeDocument/2006/relationships">
  <sheetPr codeName="Лист34">
    <tabColor rgb="FFFFFF00"/>
  </sheetPr>
  <dimension ref="B1:H34"/>
  <sheetViews>
    <sheetView topLeftCell="A16" workbookViewId="0">
      <selection activeCell="H26" sqref="H26"/>
    </sheetView>
  </sheetViews>
  <sheetFormatPr defaultRowHeight="15"/>
  <cols>
    <col min="1" max="1" width="1.5703125" style="216" customWidth="1"/>
    <col min="2" max="2" width="11" style="216" customWidth="1"/>
    <col min="3" max="3" width="80.140625" style="216" customWidth="1"/>
    <col min="4" max="4" width="19.42578125" style="216" customWidth="1"/>
    <col min="5" max="5" width="12.7109375" style="216" customWidth="1"/>
    <col min="6" max="6" width="20.5703125" style="216" customWidth="1"/>
    <col min="7" max="7" width="9.140625" style="216"/>
    <col min="8" max="8" width="10.85546875" style="216" bestFit="1" customWidth="1"/>
    <col min="9" max="16384" width="9.140625" style="216"/>
  </cols>
  <sheetData>
    <row r="1" spans="2:7" s="334" customFormat="1" ht="33.75" customHeight="1">
      <c r="B1" s="758"/>
      <c r="C1" s="759"/>
      <c r="D1" s="1189" t="s">
        <v>1872</v>
      </c>
      <c r="E1" s="1173"/>
      <c r="F1" s="1173"/>
      <c r="G1" s="761"/>
    </row>
    <row r="2" spans="2:7" s="334" customFormat="1" ht="18">
      <c r="B2" s="335"/>
      <c r="C2" s="39" t="str">
        <f>T!E18</f>
        <v>Номгӯи ташкилоти қарзӣ</v>
      </c>
      <c r="D2" s="760"/>
      <c r="E2" s="558"/>
      <c r="F2" s="86"/>
      <c r="G2" s="761"/>
    </row>
    <row r="3" spans="2:7" s="334" customFormat="1" ht="18">
      <c r="B3" s="762"/>
      <c r="C3" s="562" t="str">
        <f>T!B10</f>
        <v>Ҳисобот дар санаи</v>
      </c>
      <c r="D3" s="759"/>
      <c r="E3" s="759"/>
      <c r="F3" s="759"/>
      <c r="G3" s="761"/>
    </row>
    <row r="4" spans="2:7" s="334" customFormat="1" ht="18">
      <c r="B4" s="755"/>
      <c r="C4" s="562" t="str">
        <f>'List of Scedules'!B33</f>
        <v>ҶАДВАЛИ 15.03. ҲИСОБОТ ОИД БА КИФОЯТИИ САРМОЯ</v>
      </c>
      <c r="D4" s="759"/>
      <c r="E4" s="759"/>
      <c r="F4" s="759"/>
      <c r="G4" s="761"/>
    </row>
    <row r="5" spans="2:7" s="334" customFormat="1" ht="18">
      <c r="B5" s="759"/>
      <c r="C5" s="759"/>
      <c r="D5" s="759"/>
      <c r="E5" s="759"/>
      <c r="F5" s="759"/>
      <c r="G5" s="761"/>
    </row>
    <row r="6" spans="2:7" ht="72">
      <c r="B6" s="515"/>
      <c r="C6" s="516" t="s">
        <v>1360</v>
      </c>
      <c r="D6" s="517" t="s">
        <v>1361</v>
      </c>
      <c r="E6" s="517" t="s">
        <v>981</v>
      </c>
      <c r="F6" s="517" t="s">
        <v>1362</v>
      </c>
      <c r="G6" s="763"/>
    </row>
    <row r="7" spans="2:7" ht="18" customHeight="1">
      <c r="B7" s="518" t="s">
        <v>1238</v>
      </c>
      <c r="C7" s="519" t="s">
        <v>1465</v>
      </c>
      <c r="D7" s="520">
        <f>SUM(D8:D12)+D14+D17</f>
        <v>0</v>
      </c>
      <c r="E7" s="521"/>
      <c r="F7" s="520">
        <f>SUM(F8:F12)+F14+F17</f>
        <v>0</v>
      </c>
      <c r="G7" s="764"/>
    </row>
    <row r="8" spans="2:7" ht="18" customHeight="1">
      <c r="B8" s="522" t="s">
        <v>1239</v>
      </c>
      <c r="C8" s="523" t="s">
        <v>1372</v>
      </c>
      <c r="D8" s="524"/>
      <c r="E8" s="525">
        <v>0.1</v>
      </c>
      <c r="F8" s="520">
        <f>+D8*E8</f>
        <v>0</v>
      </c>
      <c r="G8" s="764"/>
    </row>
    <row r="9" spans="2:7" ht="18" customHeight="1">
      <c r="B9" s="522" t="s">
        <v>1240</v>
      </c>
      <c r="C9" s="523" t="s">
        <v>1373</v>
      </c>
      <c r="D9" s="60"/>
      <c r="E9" s="525">
        <v>0.1</v>
      </c>
      <c r="F9" s="520">
        <f>+D9*E9</f>
        <v>0</v>
      </c>
      <c r="G9" s="763"/>
    </row>
    <row r="10" spans="2:7" ht="18" customHeight="1">
      <c r="B10" s="522" t="s">
        <v>1241</v>
      </c>
      <c r="C10" s="526" t="s">
        <v>1374</v>
      </c>
      <c r="D10" s="60"/>
      <c r="E10" s="525">
        <v>0.1</v>
      </c>
      <c r="F10" s="520">
        <f t="shared" ref="F10" si="0">+D10*E10</f>
        <v>0</v>
      </c>
      <c r="G10" s="763"/>
    </row>
    <row r="11" spans="2:7" ht="18" customHeight="1">
      <c r="B11" s="522" t="s">
        <v>1242</v>
      </c>
      <c r="C11" s="527" t="s">
        <v>1259</v>
      </c>
      <c r="D11" s="60"/>
      <c r="E11" s="525">
        <v>0.1</v>
      </c>
      <c r="F11" s="520">
        <f t="shared" ref="F11:F17" si="1">+D11*E11</f>
        <v>0</v>
      </c>
      <c r="G11" s="763"/>
    </row>
    <row r="12" spans="2:7" ht="18" customHeight="1">
      <c r="B12" s="522" t="s">
        <v>1243</v>
      </c>
      <c r="C12" s="528" t="s">
        <v>1375</v>
      </c>
      <c r="D12" s="9"/>
      <c r="E12" s="525">
        <v>0.1</v>
      </c>
      <c r="F12" s="520">
        <f t="shared" si="1"/>
        <v>0</v>
      </c>
      <c r="G12" s="763"/>
    </row>
    <row r="13" spans="2:7" ht="18" customHeight="1">
      <c r="B13" s="522" t="s">
        <v>1244</v>
      </c>
      <c r="C13" s="528" t="s">
        <v>1376</v>
      </c>
      <c r="D13" s="9"/>
      <c r="E13" s="529">
        <v>1</v>
      </c>
      <c r="F13" s="520">
        <f t="shared" si="1"/>
        <v>0</v>
      </c>
      <c r="G13" s="763"/>
    </row>
    <row r="14" spans="2:7" ht="18" customHeight="1">
      <c r="B14" s="522" t="s">
        <v>1245</v>
      </c>
      <c r="C14" s="1044" t="s">
        <v>2338</v>
      </c>
      <c r="D14" s="9"/>
      <c r="E14" s="529">
        <v>1</v>
      </c>
      <c r="F14" s="520">
        <f t="shared" si="1"/>
        <v>0</v>
      </c>
      <c r="G14" s="763"/>
    </row>
    <row r="15" spans="2:7" ht="18" customHeight="1">
      <c r="B15" s="522" t="s">
        <v>1246</v>
      </c>
      <c r="C15" s="523" t="s">
        <v>2206</v>
      </c>
      <c r="D15" s="9"/>
      <c r="E15" s="529">
        <v>1</v>
      </c>
      <c r="F15" s="520">
        <f t="shared" si="1"/>
        <v>0</v>
      </c>
      <c r="G15" s="763"/>
    </row>
    <row r="16" spans="2:7" ht="18">
      <c r="B16" s="522" t="s">
        <v>1247</v>
      </c>
      <c r="C16" s="528" t="s">
        <v>2207</v>
      </c>
      <c r="D16" s="9"/>
      <c r="E16" s="529">
        <v>1</v>
      </c>
      <c r="F16" s="520">
        <f t="shared" si="1"/>
        <v>0</v>
      </c>
      <c r="G16" s="763"/>
    </row>
    <row r="17" spans="2:8" ht="18">
      <c r="B17" s="522" t="s">
        <v>2283</v>
      </c>
      <c r="C17" s="1044" t="s">
        <v>2285</v>
      </c>
      <c r="D17" s="1045"/>
      <c r="E17" s="995">
        <v>1.5</v>
      </c>
      <c r="F17" s="996">
        <f t="shared" si="1"/>
        <v>0</v>
      </c>
      <c r="G17" s="763"/>
    </row>
    <row r="18" spans="2:8" ht="72">
      <c r="B18" s="515"/>
      <c r="C18" s="516" t="s">
        <v>1360</v>
      </c>
      <c r="D18" s="517" t="s">
        <v>1361</v>
      </c>
      <c r="E18" s="517" t="s">
        <v>981</v>
      </c>
      <c r="F18" s="517" t="s">
        <v>1362</v>
      </c>
      <c r="G18" s="763"/>
    </row>
    <row r="19" spans="2:8" ht="18" customHeight="1">
      <c r="B19" s="522" t="s">
        <v>1248</v>
      </c>
      <c r="C19" s="519" t="s">
        <v>1377</v>
      </c>
      <c r="D19" s="520">
        <f>SUM(D20:D24)</f>
        <v>0</v>
      </c>
      <c r="E19" s="1113">
        <f>SUM(F20:F24)*1.25/100</f>
        <v>0</v>
      </c>
      <c r="F19" s="520">
        <f>SUM(F20:F24)-E27</f>
        <v>0</v>
      </c>
      <c r="G19" s="763"/>
      <c r="H19" s="804"/>
    </row>
    <row r="20" spans="2:8" ht="18" customHeight="1">
      <c r="B20" s="522" t="s">
        <v>1249</v>
      </c>
      <c r="C20" s="530" t="s">
        <v>1378</v>
      </c>
      <c r="D20" s="520">
        <f>+CA15.01!D7+CA15.01!D8+CA15.01!D9+CA15.02!D7+CA15.02!D8+CA15.04!D36</f>
        <v>0</v>
      </c>
      <c r="E20" s="529">
        <v>0</v>
      </c>
      <c r="F20" s="520">
        <f>+CA15.01!F7+CA15.01!F8+CA15.01!F9+CA15.02!F7+CA15.02!F8+CA15.04!G36</f>
        <v>0</v>
      </c>
      <c r="G20" s="763"/>
    </row>
    <row r="21" spans="2:8" ht="18" customHeight="1">
      <c r="B21" s="522" t="s">
        <v>1250</v>
      </c>
      <c r="C21" s="519" t="s">
        <v>1379</v>
      </c>
      <c r="D21" s="520">
        <f>SUM(D8:D12)+SUM(D28:D32)+CA15.04!D10+CA15.04!D11+CA15.04!D37</f>
        <v>0</v>
      </c>
      <c r="E21" s="529">
        <v>0.1</v>
      </c>
      <c r="F21" s="520">
        <f>SUM(F8:F12)+SUM(F28:F32)+CA15.04!G10+CA15.04!G11+CA15.04!G37</f>
        <v>0</v>
      </c>
      <c r="G21" s="763"/>
    </row>
    <row r="22" spans="2:8" ht="18" customHeight="1">
      <c r="B22" s="522" t="s">
        <v>1251</v>
      </c>
      <c r="C22" s="997" t="s">
        <v>1380</v>
      </c>
      <c r="D22" s="996">
        <f>CA15.01!D10+CA15.01!D15+CA15.01!D20+CA15.01!D25+CA15.02!D9+CA15.02!D10+CA15.02!D11+CA15.02!D12+CA15.02!D13+CA15.02!D14+CA15.02!D15+CA15.02!D16+CA15.02!D17+CA15.04!D7+CA15.04!D8+CA15.04!D14+CA15.04!D15+CA15.04!D17+CA15.04!D18+CA15.04!D20+CA15.04!D21+CA15.04!D23+CA15.04!D24+CA15.04!D26+CA15.04!D27+CA15.04!D29+CA15.04!D30+CA15.04!D32+CA15.04!D33+CA15.04!D38</f>
        <v>0</v>
      </c>
      <c r="E22" s="995">
        <v>0.7</v>
      </c>
      <c r="F22" s="520">
        <f>CA15.01!F10+CA15.01!F15+CA15.01!F20+CA15.01!F25+CA15.02!F9+CA15.02!F10+CA15.02!F11+CA15.02!F12+CA15.02!F13+CA15.02!F14+CA15.02!F15+CA15.02!F16+CA15.02!F17+CA15.04!G7+CA15.04!G8+CA15.04!G14+CA15.04!G15+CA15.04!G17+CA15.04!G18+CA15.04!G20+CA15.04!G21+CA15.04!G23+CA15.04!G24+CA15.04!G26+CA15.04!G27+CA15.04!G29+CA15.04!G30+CA15.04!G32+CA15.04!G33+CA15.04!G38</f>
        <v>0</v>
      </c>
      <c r="G22" s="763"/>
    </row>
    <row r="23" spans="2:8" ht="18" customHeight="1">
      <c r="B23" s="522" t="s">
        <v>1252</v>
      </c>
      <c r="C23" s="997" t="s">
        <v>1381</v>
      </c>
      <c r="D23" s="996">
        <f>CA15.02!D18+CA15.02!D19+CA15.04!D9+CA15.04!D12+CA15.04!D13+CA15.04!D16+CA15.04!D19+CA15.04!D22+CA15.04!D25+CA15.04!D28+CA15.04!D31+CA15.04!D34+CA15.04!D35+CA15.04!D39+D13+D14+D15+D16+D33+D25</f>
        <v>0</v>
      </c>
      <c r="E23" s="995">
        <v>1</v>
      </c>
      <c r="F23" s="520">
        <f>+CA15.02!F18+CA15.02!F19+CA15.04!G9+CA15.04!G12+CA15.04!G13+CA15.04!G16+CA15.04!G19+CA15.04!G22+CA15.04!G25+CA15.04!G28+CA15.04!G31+CA15.04!G34+CA15.04!G35+CA15.04!G39+F13+F14+F15+F16+F33+D25</f>
        <v>0</v>
      </c>
      <c r="G23" s="763"/>
    </row>
    <row r="24" spans="2:8" ht="18" customHeight="1">
      <c r="B24" s="522" t="s">
        <v>122</v>
      </c>
      <c r="C24" s="997" t="s">
        <v>2198</v>
      </c>
      <c r="D24" s="996">
        <f>D17+D34</f>
        <v>0</v>
      </c>
      <c r="E24" s="995">
        <v>1.5</v>
      </c>
      <c r="F24" s="996">
        <f>F17+F34</f>
        <v>0</v>
      </c>
      <c r="G24" s="763"/>
      <c r="H24" s="804"/>
    </row>
    <row r="25" spans="2:8" ht="18">
      <c r="B25" s="522" t="s">
        <v>123</v>
      </c>
      <c r="C25" s="531" t="s">
        <v>1382</v>
      </c>
      <c r="D25" s="1112">
        <f>IF(FX19.01!L9&gt;FX19.01!M9,FX19.01!L9,FX19.01!M9)</f>
        <v>0</v>
      </c>
      <c r="E25" s="1113">
        <f>BC01.03!D20+BL01.02!D46</f>
        <v>0</v>
      </c>
      <c r="F25" s="532" t="e">
        <f>+CA15.05!D36/F19</f>
        <v>#DIV/0!</v>
      </c>
      <c r="G25" s="763"/>
    </row>
    <row r="26" spans="2:8" ht="72">
      <c r="B26" s="515"/>
      <c r="C26" s="516" t="s">
        <v>1360</v>
      </c>
      <c r="D26" s="517" t="s">
        <v>1361</v>
      </c>
      <c r="E26" s="517" t="s">
        <v>981</v>
      </c>
      <c r="F26" s="517" t="s">
        <v>1362</v>
      </c>
    </row>
    <row r="27" spans="2:8" ht="18" customHeight="1">
      <c r="B27" s="522" t="s">
        <v>1383</v>
      </c>
      <c r="C27" s="533" t="s">
        <v>1542</v>
      </c>
      <c r="D27" s="520">
        <f>SUM(D28:D33)</f>
        <v>0</v>
      </c>
      <c r="E27" s="1113">
        <f>IF(E19&gt;=E25,0,E25-E19)</f>
        <v>0</v>
      </c>
      <c r="F27" s="520">
        <f>SUM(F28:F33)</f>
        <v>0</v>
      </c>
    </row>
    <row r="28" spans="2:8" ht="18" customHeight="1">
      <c r="B28" s="522" t="s">
        <v>1384</v>
      </c>
      <c r="C28" s="526" t="s">
        <v>1372</v>
      </c>
      <c r="D28" s="534">
        <v>0</v>
      </c>
      <c r="E28" s="525">
        <v>0.1</v>
      </c>
      <c r="F28" s="520">
        <f t="shared" ref="F28:F33" si="2">+D28*E28</f>
        <v>0</v>
      </c>
    </row>
    <row r="29" spans="2:8" ht="18" customHeight="1">
      <c r="B29" s="522" t="s">
        <v>1385</v>
      </c>
      <c r="C29" s="526" t="s">
        <v>1373</v>
      </c>
      <c r="D29" s="534">
        <v>0</v>
      </c>
      <c r="E29" s="525">
        <v>0.1</v>
      </c>
      <c r="F29" s="520">
        <f t="shared" si="2"/>
        <v>0</v>
      </c>
    </row>
    <row r="30" spans="2:8" ht="18" customHeight="1">
      <c r="B30" s="522" t="s">
        <v>1386</v>
      </c>
      <c r="C30" s="526" t="s">
        <v>1374</v>
      </c>
      <c r="D30" s="534">
        <v>0</v>
      </c>
      <c r="E30" s="525">
        <v>0.1</v>
      </c>
      <c r="F30" s="520">
        <f t="shared" si="2"/>
        <v>0</v>
      </c>
    </row>
    <row r="31" spans="2:8" ht="18" customHeight="1">
      <c r="B31" s="522" t="s">
        <v>1387</v>
      </c>
      <c r="C31" s="526" t="s">
        <v>1259</v>
      </c>
      <c r="D31" s="534">
        <v>0</v>
      </c>
      <c r="E31" s="525">
        <v>0.1</v>
      </c>
      <c r="F31" s="520">
        <f t="shared" si="2"/>
        <v>0</v>
      </c>
    </row>
    <row r="32" spans="2:8" ht="18" customHeight="1">
      <c r="B32" s="522" t="s">
        <v>1388</v>
      </c>
      <c r="C32" s="528" t="s">
        <v>1375</v>
      </c>
      <c r="D32" s="534">
        <v>0</v>
      </c>
      <c r="E32" s="525">
        <v>0.1</v>
      </c>
      <c r="F32" s="520">
        <f t="shared" si="2"/>
        <v>0</v>
      </c>
    </row>
    <row r="33" spans="2:6" ht="18" customHeight="1">
      <c r="B33" s="522" t="s">
        <v>1389</v>
      </c>
      <c r="C33" s="1047" t="s">
        <v>2287</v>
      </c>
      <c r="D33" s="9"/>
      <c r="E33" s="529">
        <v>1</v>
      </c>
      <c r="F33" s="520">
        <f t="shared" si="2"/>
        <v>0</v>
      </c>
    </row>
    <row r="34" spans="2:6" ht="18">
      <c r="B34" s="1046" t="s">
        <v>2284</v>
      </c>
      <c r="C34" s="1047" t="s">
        <v>2286</v>
      </c>
      <c r="D34" s="1045">
        <v>0</v>
      </c>
      <c r="E34" s="995">
        <v>1.5</v>
      </c>
      <c r="F34" s="996">
        <f>+D34*E34</f>
        <v>0</v>
      </c>
    </row>
  </sheetData>
  <sheetProtection password="E9D4" sheet="1" objects="1" scenarios="1"/>
  <customSheetViews>
    <customSheetView guid="{871F8275-217B-436F-8813-871F820F0EE4}" scale="85" showPageBreaks="1" showGridLines="0" view="pageBreakPreview" topLeftCell="A7">
      <selection activeCell="D19" sqref="D19"/>
      <pageMargins left="0.31496062992125984" right="0.31496062992125984" top="0.39370078740157483" bottom="0.39370078740157483" header="0.19685039370078741" footer="0.19685039370078741"/>
      <pageSetup paperSize="9" scale="69" orientation="portrait" r:id="rId1"/>
      <headerFooter alignWithMargins="0">
        <oddFooter>&amp;L&amp;7&amp;D&amp;C&amp;7&amp;P&amp;R&amp;7&amp;F</oddFooter>
      </headerFooter>
    </customSheetView>
    <customSheetView guid="{2EBF18CB-80C9-43ED-A978-2AAEAC40933E}" scale="75" showGridLines="0" showRuler="0" topLeftCell="A22">
      <selection activeCell="F32" sqref="F32"/>
      <pageMargins left="0.31496062992125984" right="0.31496062992125984" top="0.39370078740157483" bottom="0.39370078740157483" header="0.19685039370078741" footer="0.19685039370078741"/>
      <pageSetup paperSize="9" scale="70" orientation="portrait" horizontalDpi="300" verticalDpi="300" r:id="rId2"/>
      <headerFooter alignWithMargins="0">
        <oddFooter>&amp;L&amp;7&amp;D&amp;C&amp;7&amp;P&amp;R&amp;7&amp;F</oddFooter>
      </headerFooter>
    </customSheetView>
    <customSheetView guid="{47D3AB49-9599-4A16-951B-F48FEC1C0136}" scale="75" showGridLines="0">
      <selection activeCell="D32" sqref="D32"/>
      <pageMargins left="0.31496062992125984" right="0.31496062992125984" top="0.39370078740157483" bottom="0.39370078740157483" header="0.19685039370078741" footer="0.19685039370078741"/>
      <pageSetup paperSize="9" scale="70" orientation="portrait" horizontalDpi="300" verticalDpi="300" r:id="rId3"/>
      <headerFooter alignWithMargins="0">
        <oddFooter>&amp;L&amp;7&amp;D&amp;C&amp;7&amp;P&amp;R&amp;7&amp;F</oddFooter>
      </headerFooter>
    </customSheetView>
    <customSheetView guid="{ECE607A2-8A26-46E0-8BDC-E9AD788F604C}" scale="85" showPageBreaks="1" showGridLines="0" view="pageBreakPreview" topLeftCell="A7">
      <selection activeCell="D43" sqref="D43"/>
      <pageMargins left="0.31496062992125984" right="0.31496062992125984" top="0.39370078740157483" bottom="0.39370078740157483" header="0.19685039370078741" footer="0.19685039370078741"/>
      <pageSetup paperSize="9" scale="69" orientation="portrait" r:id="rId4"/>
      <headerFooter alignWithMargins="0">
        <oddFooter>&amp;L&amp;7&amp;D&amp;C&amp;7&amp;P&amp;R&amp;7&amp;F</oddFooter>
      </headerFooter>
    </customSheetView>
    <customSheetView guid="{FB1E0752-409C-4E7D-BCFE-7AEBEB8B5F0D}" scale="85" showPageBreaks="1" showGridLines="0" view="pageBreakPreview" topLeftCell="A7">
      <selection activeCell="D32" sqref="D32"/>
      <pageMargins left="0.31496062992125984" right="0.31496062992125984" top="0.39370078740157483" bottom="0.39370078740157483" header="0.19685039370078741" footer="0.19685039370078741"/>
      <pageSetup paperSize="9" scale="69" orientation="portrait" r:id="rId5"/>
      <headerFooter alignWithMargins="0">
        <oddFooter>&amp;L&amp;7&amp;D&amp;C&amp;7&amp;P&amp;R&amp;7&amp;F</oddFooter>
      </headerFooter>
    </customSheetView>
  </customSheetViews>
  <mergeCells count="1">
    <mergeCell ref="D1:F1"/>
  </mergeCells>
  <phoneticPr fontId="0" type="noConversion"/>
  <pageMargins left="0.31496062992125984" right="0.31496062992125984" top="0.39370078740157483" bottom="0.39370078740157483" header="0.19685039370078741" footer="0.19685039370078741"/>
  <pageSetup paperSize="9" scale="68" orientation="portrait" r:id="rId6"/>
  <headerFooter alignWithMargins="0">
    <oddFooter>&amp;L&amp;7&amp;D&amp;C&amp;7&amp;P&amp;R&amp;7&amp;F</oddFooter>
  </headerFooter>
</worksheet>
</file>

<file path=xl/worksheets/sheet35.xml><?xml version="1.0" encoding="utf-8"?>
<worksheet xmlns="http://schemas.openxmlformats.org/spreadsheetml/2006/main" xmlns:r="http://schemas.openxmlformats.org/officeDocument/2006/relationships">
  <sheetPr codeName="Лист35"/>
  <dimension ref="B1:H41"/>
  <sheetViews>
    <sheetView workbookViewId="0">
      <selection activeCell="G40" sqref="G40"/>
    </sheetView>
  </sheetViews>
  <sheetFormatPr defaultRowHeight="15"/>
  <cols>
    <col min="1" max="1" width="2.140625" style="216" customWidth="1"/>
    <col min="2" max="2" width="10.7109375" style="216" customWidth="1"/>
    <col min="3" max="3" width="54.85546875" style="216" customWidth="1"/>
    <col min="4" max="4" width="17.7109375" style="216" bestFit="1" customWidth="1"/>
    <col min="5" max="5" width="14.5703125" style="216" customWidth="1"/>
    <col min="6" max="6" width="12.140625" style="216" customWidth="1"/>
    <col min="7" max="7" width="16.7109375" style="216" customWidth="1"/>
    <col min="8" max="16384" width="9.140625" style="216"/>
  </cols>
  <sheetData>
    <row r="1" spans="2:8" s="334" customFormat="1" ht="31.5" customHeight="1">
      <c r="B1" s="556"/>
      <c r="C1" s="557"/>
      <c r="D1" s="558"/>
      <c r="E1" s="1189" t="s">
        <v>1872</v>
      </c>
      <c r="F1" s="1173"/>
      <c r="G1" s="1173"/>
      <c r="H1" s="560"/>
    </row>
    <row r="2" spans="2:8" s="334" customFormat="1" ht="18">
      <c r="C2" s="39" t="str">
        <f>T!E18</f>
        <v>Номгӯи ташкилоти қарзӣ</v>
      </c>
      <c r="D2" s="558"/>
      <c r="E2" s="559"/>
      <c r="F2" s="558"/>
      <c r="G2" s="86"/>
      <c r="H2" s="560"/>
    </row>
    <row r="3" spans="2:8" s="334" customFormat="1" ht="18">
      <c r="B3" s="561"/>
      <c r="C3" s="562" t="str">
        <f>T!B10</f>
        <v>Ҳисобот дар санаи</v>
      </c>
      <c r="D3" s="558"/>
      <c r="E3" s="558"/>
      <c r="F3" s="559"/>
      <c r="G3" s="559"/>
      <c r="H3" s="560"/>
    </row>
    <row r="4" spans="2:8" s="334" customFormat="1" ht="18">
      <c r="C4" s="562" t="str">
        <f>'List of Scedules'!B34</f>
        <v>ҶАДВАЛИ 15.04. ҲИСОБОТ ОИД БА КИФОЯТИИ САРМОЯ</v>
      </c>
      <c r="D4" s="558"/>
      <c r="E4" s="558"/>
      <c r="F4" s="558"/>
      <c r="G4" s="558"/>
      <c r="H4" s="560"/>
    </row>
    <row r="5" spans="2:8" s="334" customFormat="1" ht="18">
      <c r="B5" s="563"/>
      <c r="C5" s="564"/>
      <c r="D5" s="565"/>
      <c r="E5" s="566"/>
      <c r="F5" s="567"/>
      <c r="G5" s="565"/>
      <c r="H5" s="560"/>
    </row>
    <row r="6" spans="2:8" s="569" customFormat="1" ht="54">
      <c r="B6" s="535"/>
      <c r="C6" s="536" t="s">
        <v>1659</v>
      </c>
      <c r="D6" s="536" t="s">
        <v>1390</v>
      </c>
      <c r="E6" s="536" t="s">
        <v>1391</v>
      </c>
      <c r="F6" s="536" t="s">
        <v>981</v>
      </c>
      <c r="G6" s="536" t="s">
        <v>1392</v>
      </c>
      <c r="H6" s="568"/>
    </row>
    <row r="7" spans="2:8" ht="36">
      <c r="B7" s="537" t="s">
        <v>759</v>
      </c>
      <c r="C7" s="538" t="s">
        <v>1144</v>
      </c>
      <c r="D7" s="9">
        <v>0</v>
      </c>
      <c r="E7" s="539">
        <v>0</v>
      </c>
      <c r="F7" s="539">
        <v>0.7</v>
      </c>
      <c r="G7" s="540">
        <f>+D7*E7*F7</f>
        <v>0</v>
      </c>
      <c r="H7" s="570"/>
    </row>
    <row r="8" spans="2:8" ht="18">
      <c r="B8" s="541" t="s">
        <v>1779</v>
      </c>
      <c r="C8" s="542"/>
      <c r="D8" s="9">
        <v>0</v>
      </c>
      <c r="E8" s="539">
        <v>0</v>
      </c>
      <c r="F8" s="539">
        <v>0.7</v>
      </c>
      <c r="G8" s="540">
        <f t="shared" ref="G8:G35" si="0">+D8*E8*F8</f>
        <v>0</v>
      </c>
      <c r="H8" s="570"/>
    </row>
    <row r="9" spans="2:8" ht="18">
      <c r="B9" s="541" t="s">
        <v>1780</v>
      </c>
      <c r="C9" s="542"/>
      <c r="D9" s="60">
        <v>0</v>
      </c>
      <c r="E9" s="539">
        <v>0</v>
      </c>
      <c r="F9" s="539">
        <v>1</v>
      </c>
      <c r="G9" s="540">
        <f t="shared" si="0"/>
        <v>0</v>
      </c>
      <c r="H9" s="570"/>
    </row>
    <row r="10" spans="2:8" ht="18">
      <c r="B10" s="543" t="s">
        <v>1781</v>
      </c>
      <c r="C10" s="542" t="s">
        <v>1393</v>
      </c>
      <c r="D10" s="9">
        <v>0</v>
      </c>
      <c r="E10" s="539">
        <v>0</v>
      </c>
      <c r="F10" s="539">
        <v>0.1</v>
      </c>
      <c r="G10" s="540">
        <f t="shared" si="0"/>
        <v>0</v>
      </c>
      <c r="H10" s="571"/>
    </row>
    <row r="11" spans="2:8" ht="18">
      <c r="B11" s="544" t="s">
        <v>1782</v>
      </c>
      <c r="C11" s="538"/>
      <c r="D11" s="9">
        <v>0</v>
      </c>
      <c r="E11" s="539">
        <v>0.5</v>
      </c>
      <c r="F11" s="539">
        <v>0.1</v>
      </c>
      <c r="G11" s="540">
        <f>+D11*E11*F11</f>
        <v>0</v>
      </c>
      <c r="H11" s="571"/>
    </row>
    <row r="12" spans="2:8" ht="18">
      <c r="B12" s="544" t="s">
        <v>1783</v>
      </c>
      <c r="C12" s="538"/>
      <c r="D12" s="9">
        <v>0</v>
      </c>
      <c r="E12" s="539">
        <v>0</v>
      </c>
      <c r="F12" s="539">
        <v>1</v>
      </c>
      <c r="G12" s="540">
        <f t="shared" si="0"/>
        <v>0</v>
      </c>
      <c r="H12" s="570"/>
    </row>
    <row r="13" spans="2:8" ht="18">
      <c r="B13" s="544" t="s">
        <v>1784</v>
      </c>
      <c r="C13" s="538"/>
      <c r="D13" s="9"/>
      <c r="E13" s="539">
        <v>0.5</v>
      </c>
      <c r="F13" s="539">
        <v>1</v>
      </c>
      <c r="G13" s="540">
        <f t="shared" si="0"/>
        <v>0</v>
      </c>
      <c r="H13" s="570"/>
    </row>
    <row r="14" spans="2:8" ht="18">
      <c r="B14" s="544" t="s">
        <v>1815</v>
      </c>
      <c r="C14" s="538" t="s">
        <v>980</v>
      </c>
      <c r="D14" s="9">
        <v>0</v>
      </c>
      <c r="E14" s="539">
        <v>0.2</v>
      </c>
      <c r="F14" s="539">
        <v>0.7</v>
      </c>
      <c r="G14" s="540">
        <f t="shared" si="0"/>
        <v>0</v>
      </c>
      <c r="H14" s="570"/>
    </row>
    <row r="15" spans="2:8" ht="18">
      <c r="B15" s="544" t="s">
        <v>1816</v>
      </c>
      <c r="C15" s="538"/>
      <c r="D15" s="9">
        <v>0</v>
      </c>
      <c r="E15" s="539">
        <v>0.2</v>
      </c>
      <c r="F15" s="539">
        <v>0.7</v>
      </c>
      <c r="G15" s="540">
        <f t="shared" si="0"/>
        <v>0</v>
      </c>
      <c r="H15" s="570"/>
    </row>
    <row r="16" spans="2:8" ht="18">
      <c r="B16" s="544" t="s">
        <v>1817</v>
      </c>
      <c r="C16" s="538"/>
      <c r="D16" s="9">
        <v>0</v>
      </c>
      <c r="E16" s="539">
        <v>0.2</v>
      </c>
      <c r="F16" s="539">
        <v>1</v>
      </c>
      <c r="G16" s="540">
        <f t="shared" si="0"/>
        <v>0</v>
      </c>
      <c r="H16" s="570"/>
    </row>
    <row r="17" spans="2:8" ht="18">
      <c r="B17" s="544" t="s">
        <v>1818</v>
      </c>
      <c r="C17" s="538" t="s">
        <v>1394</v>
      </c>
      <c r="D17" s="9">
        <v>0</v>
      </c>
      <c r="E17" s="539">
        <v>0.5</v>
      </c>
      <c r="F17" s="539">
        <v>0.7</v>
      </c>
      <c r="G17" s="540">
        <f t="shared" si="0"/>
        <v>0</v>
      </c>
      <c r="H17" s="570"/>
    </row>
    <row r="18" spans="2:8" ht="18">
      <c r="B18" s="544" t="s">
        <v>1819</v>
      </c>
      <c r="C18" s="538"/>
      <c r="D18" s="9">
        <v>0</v>
      </c>
      <c r="E18" s="539">
        <v>0.5</v>
      </c>
      <c r="F18" s="539">
        <v>0.7</v>
      </c>
      <c r="G18" s="540">
        <f t="shared" si="0"/>
        <v>0</v>
      </c>
      <c r="H18" s="570"/>
    </row>
    <row r="19" spans="2:8" ht="18">
      <c r="B19" s="544" t="s">
        <v>20</v>
      </c>
      <c r="C19" s="538"/>
      <c r="D19" s="9">
        <v>0</v>
      </c>
      <c r="E19" s="539">
        <v>0.5</v>
      </c>
      <c r="F19" s="539">
        <v>1</v>
      </c>
      <c r="G19" s="540">
        <f t="shared" si="0"/>
        <v>0</v>
      </c>
      <c r="H19" s="570"/>
    </row>
    <row r="20" spans="2:8" ht="18">
      <c r="B20" s="544" t="s">
        <v>1820</v>
      </c>
      <c r="C20" s="545" t="s">
        <v>1145</v>
      </c>
      <c r="D20" s="9">
        <v>0</v>
      </c>
      <c r="E20" s="539">
        <v>0.5</v>
      </c>
      <c r="F20" s="539">
        <v>0.7</v>
      </c>
      <c r="G20" s="540">
        <f t="shared" si="0"/>
        <v>0</v>
      </c>
      <c r="H20" s="570"/>
    </row>
    <row r="21" spans="2:8" ht="18">
      <c r="B21" s="544" t="s">
        <v>1821</v>
      </c>
      <c r="C21" s="545"/>
      <c r="D21" s="9">
        <v>0</v>
      </c>
      <c r="E21" s="539">
        <v>0.5</v>
      </c>
      <c r="F21" s="539">
        <v>0.7</v>
      </c>
      <c r="G21" s="540">
        <f t="shared" si="0"/>
        <v>0</v>
      </c>
      <c r="H21" s="570"/>
    </row>
    <row r="22" spans="2:8" ht="18">
      <c r="B22" s="546" t="s">
        <v>1826</v>
      </c>
      <c r="C22" s="545"/>
      <c r="D22" s="9">
        <v>0</v>
      </c>
      <c r="E22" s="539">
        <v>0.5</v>
      </c>
      <c r="F22" s="539">
        <v>1</v>
      </c>
      <c r="G22" s="540">
        <f t="shared" si="0"/>
        <v>0</v>
      </c>
      <c r="H22" s="570"/>
    </row>
    <row r="23" spans="2:8" ht="16.5" customHeight="1">
      <c r="B23" s="546" t="s">
        <v>1827</v>
      </c>
      <c r="C23" s="547" t="s">
        <v>1395</v>
      </c>
      <c r="D23" s="9">
        <v>0</v>
      </c>
      <c r="E23" s="539">
        <v>1</v>
      </c>
      <c r="F23" s="539">
        <v>0.7</v>
      </c>
      <c r="G23" s="540">
        <f t="shared" si="0"/>
        <v>0</v>
      </c>
      <c r="H23" s="570"/>
    </row>
    <row r="24" spans="2:8" ht="18">
      <c r="B24" s="548" t="s">
        <v>1828</v>
      </c>
      <c r="C24" s="538"/>
      <c r="D24" s="9">
        <v>0</v>
      </c>
      <c r="E24" s="539">
        <v>1</v>
      </c>
      <c r="F24" s="539">
        <v>0.7</v>
      </c>
      <c r="G24" s="540">
        <f t="shared" si="0"/>
        <v>0</v>
      </c>
      <c r="H24" s="572"/>
    </row>
    <row r="25" spans="2:8" ht="18">
      <c r="B25" s="548" t="s">
        <v>1829</v>
      </c>
      <c r="C25" s="538"/>
      <c r="D25" s="9"/>
      <c r="E25" s="539">
        <v>1</v>
      </c>
      <c r="F25" s="539">
        <v>1</v>
      </c>
      <c r="G25" s="540">
        <f t="shared" si="0"/>
        <v>0</v>
      </c>
      <c r="H25" s="572"/>
    </row>
    <row r="26" spans="2:8" ht="18">
      <c r="B26" s="549" t="s">
        <v>1830</v>
      </c>
      <c r="C26" s="550" t="s">
        <v>1396</v>
      </c>
      <c r="D26" s="9">
        <v>0</v>
      </c>
      <c r="E26" s="539">
        <v>1</v>
      </c>
      <c r="F26" s="539">
        <v>0.7</v>
      </c>
      <c r="G26" s="540">
        <f t="shared" si="0"/>
        <v>0</v>
      </c>
      <c r="H26" s="572"/>
    </row>
    <row r="27" spans="2:8" ht="18">
      <c r="B27" s="549" t="s">
        <v>1831</v>
      </c>
      <c r="C27" s="538"/>
      <c r="D27" s="9">
        <v>0</v>
      </c>
      <c r="E27" s="539">
        <v>1</v>
      </c>
      <c r="F27" s="539">
        <v>0.7</v>
      </c>
      <c r="G27" s="540">
        <f t="shared" si="0"/>
        <v>0</v>
      </c>
      <c r="H27" s="572"/>
    </row>
    <row r="28" spans="2:8" ht="18">
      <c r="B28" s="549" t="s">
        <v>1832</v>
      </c>
      <c r="C28" s="551"/>
      <c r="D28" s="9">
        <v>0</v>
      </c>
      <c r="E28" s="539">
        <v>1</v>
      </c>
      <c r="F28" s="539">
        <v>1</v>
      </c>
      <c r="G28" s="540">
        <f t="shared" si="0"/>
        <v>0</v>
      </c>
      <c r="H28" s="572"/>
    </row>
    <row r="29" spans="2:8" ht="36">
      <c r="B29" s="549" t="s">
        <v>1833</v>
      </c>
      <c r="C29" s="538" t="s">
        <v>1397</v>
      </c>
      <c r="D29" s="9">
        <v>0</v>
      </c>
      <c r="E29" s="539">
        <v>1</v>
      </c>
      <c r="F29" s="539">
        <v>0.7</v>
      </c>
      <c r="G29" s="540">
        <f t="shared" si="0"/>
        <v>0</v>
      </c>
      <c r="H29" s="572"/>
    </row>
    <row r="30" spans="2:8" ht="18">
      <c r="B30" s="549" t="s">
        <v>1834</v>
      </c>
      <c r="C30" s="538"/>
      <c r="D30" s="9">
        <v>0</v>
      </c>
      <c r="E30" s="539">
        <v>1</v>
      </c>
      <c r="F30" s="539">
        <v>0.7</v>
      </c>
      <c r="G30" s="540">
        <f t="shared" si="0"/>
        <v>0</v>
      </c>
      <c r="H30" s="572"/>
    </row>
    <row r="31" spans="2:8" ht="18">
      <c r="B31" s="549" t="s">
        <v>1835</v>
      </c>
      <c r="C31" s="538"/>
      <c r="D31" s="9">
        <v>0</v>
      </c>
      <c r="E31" s="539">
        <v>1</v>
      </c>
      <c r="F31" s="539">
        <v>1</v>
      </c>
      <c r="G31" s="540">
        <f t="shared" si="0"/>
        <v>0</v>
      </c>
      <c r="H31" s="572"/>
    </row>
    <row r="32" spans="2:8" ht="18">
      <c r="B32" s="549" t="s">
        <v>1836</v>
      </c>
      <c r="C32" s="538" t="s">
        <v>1398</v>
      </c>
      <c r="D32" s="9">
        <v>0</v>
      </c>
      <c r="E32" s="539">
        <v>1</v>
      </c>
      <c r="F32" s="539">
        <v>0.7</v>
      </c>
      <c r="G32" s="540">
        <f t="shared" si="0"/>
        <v>0</v>
      </c>
      <c r="H32" s="572"/>
    </row>
    <row r="33" spans="2:8" ht="18">
      <c r="B33" s="549" t="s">
        <v>1837</v>
      </c>
      <c r="C33" s="552"/>
      <c r="D33" s="9">
        <v>0</v>
      </c>
      <c r="E33" s="553">
        <v>1</v>
      </c>
      <c r="F33" s="553">
        <v>0.7</v>
      </c>
      <c r="G33" s="540">
        <f t="shared" si="0"/>
        <v>0</v>
      </c>
      <c r="H33" s="572"/>
    </row>
    <row r="34" spans="2:8" ht="18">
      <c r="B34" s="549" t="s">
        <v>1838</v>
      </c>
      <c r="C34" s="552"/>
      <c r="D34" s="9">
        <v>0</v>
      </c>
      <c r="E34" s="553">
        <v>1</v>
      </c>
      <c r="F34" s="553">
        <v>1</v>
      </c>
      <c r="G34" s="540">
        <f t="shared" si="0"/>
        <v>0</v>
      </c>
      <c r="H34" s="572"/>
    </row>
    <row r="35" spans="2:8" ht="18">
      <c r="B35" s="549" t="s">
        <v>59</v>
      </c>
      <c r="C35" s="538" t="s">
        <v>1399</v>
      </c>
      <c r="D35" s="9">
        <v>0</v>
      </c>
      <c r="E35" s="553">
        <v>1</v>
      </c>
      <c r="F35" s="553">
        <v>1</v>
      </c>
      <c r="G35" s="540">
        <f t="shared" si="0"/>
        <v>0</v>
      </c>
      <c r="H35" s="572"/>
    </row>
    <row r="36" spans="2:8" ht="18">
      <c r="B36" s="549" t="s">
        <v>1400</v>
      </c>
      <c r="C36" s="538" t="s">
        <v>2209</v>
      </c>
      <c r="D36" s="9">
        <v>0</v>
      </c>
      <c r="E36" s="553">
        <v>1</v>
      </c>
      <c r="F36" s="529">
        <v>0</v>
      </c>
      <c r="G36" s="540">
        <f>+D36*E36*F36</f>
        <v>0</v>
      </c>
      <c r="H36" s="389"/>
    </row>
    <row r="37" spans="2:8" ht="18">
      <c r="B37" s="549" t="s">
        <v>2048</v>
      </c>
      <c r="C37" s="549"/>
      <c r="D37" s="9">
        <v>0</v>
      </c>
      <c r="E37" s="553">
        <v>1</v>
      </c>
      <c r="F37" s="529">
        <v>0.1</v>
      </c>
      <c r="G37" s="540">
        <f>+D37*E37*F37</f>
        <v>0</v>
      </c>
      <c r="H37" s="389"/>
    </row>
    <row r="38" spans="2:8" ht="18">
      <c r="B38" s="549" t="s">
        <v>2049</v>
      </c>
      <c r="C38" s="549"/>
      <c r="D38" s="9">
        <v>0</v>
      </c>
      <c r="E38" s="553">
        <v>1</v>
      </c>
      <c r="F38" s="529">
        <v>0.7</v>
      </c>
      <c r="G38" s="540">
        <f>+D38*E38*F38</f>
        <v>0</v>
      </c>
      <c r="H38" s="389"/>
    </row>
    <row r="39" spans="2:8" ht="18">
      <c r="B39" s="549" t="s">
        <v>2050</v>
      </c>
      <c r="C39" s="549"/>
      <c r="D39" s="9">
        <v>0</v>
      </c>
      <c r="E39" s="553">
        <v>1</v>
      </c>
      <c r="F39" s="529">
        <v>1</v>
      </c>
      <c r="G39" s="540">
        <f>+D39*E39*F39</f>
        <v>0</v>
      </c>
      <c r="H39" s="389"/>
    </row>
    <row r="40" spans="2:8" ht="18">
      <c r="B40" s="537" t="s">
        <v>885</v>
      </c>
      <c r="C40" s="554" t="s">
        <v>1268</v>
      </c>
      <c r="D40" s="555">
        <f>SUM(D7:D39)</f>
        <v>0</v>
      </c>
      <c r="E40" s="100"/>
      <c r="F40" s="100"/>
      <c r="G40" s="540">
        <f>SUM(G7:G39)</f>
        <v>0</v>
      </c>
    </row>
    <row r="41" spans="2:8">
      <c r="D41" s="573"/>
    </row>
  </sheetData>
  <sheetProtection password="E9D4" sheet="1" objects="1" scenarios="1"/>
  <customSheetViews>
    <customSheetView guid="{871F8275-217B-436F-8813-871F820F0EE4}" scale="85" showPageBreaks="1" showGridLines="0" view="pageBreakPreview" topLeftCell="A4">
      <selection activeCell="C43" sqref="C43"/>
      <pageMargins left="0.31496062992125984" right="0.31496062992125984" top="0.39370078740157483" bottom="0.39370078740157483" header="0.19685039370078741" footer="0.19685039370078741"/>
      <pageSetup paperSize="9" scale="77" orientation="portrait" r:id="rId1"/>
      <headerFooter alignWithMargins="0">
        <oddFooter>&amp;L&amp;7&amp;D&amp;C&amp;7&amp;P&amp;R&amp;7&amp;F</oddFooter>
      </headerFooter>
    </customSheetView>
    <customSheetView guid="{2EBF18CB-80C9-43ED-A978-2AAEAC40933E}" scale="75" showGridLines="0" showRuler="0" topLeftCell="A4">
      <selection activeCell="C14" sqref="C14"/>
      <pageMargins left="0.31496062992125984" right="0.31496062992125984" top="0.39370078740157483" bottom="0.39370078740157483" header="0.19685039370078741" footer="0.19685039370078741"/>
      <pageSetup paperSize="9" scale="77" orientation="portrait" horizontalDpi="300" verticalDpi="300" r:id="rId2"/>
      <headerFooter alignWithMargins="0">
        <oddFooter>&amp;L&amp;7&amp;D&amp;C&amp;7&amp;P&amp;R&amp;7&amp;F</oddFooter>
      </headerFooter>
    </customSheetView>
    <customSheetView guid="{47D3AB49-9599-4A16-951B-F48FEC1C0136}" scale="75" showGridLines="0">
      <selection activeCell="D33" sqref="D33"/>
      <pageMargins left="0.31496062992125984" right="0.31496062992125984" top="0.39370078740157483" bottom="0.39370078740157483" header="0.19685039370078741" footer="0.19685039370078741"/>
      <pageSetup paperSize="9" scale="77" orientation="portrait" horizontalDpi="300" verticalDpi="300" r:id="rId3"/>
      <headerFooter alignWithMargins="0">
        <oddFooter>&amp;L&amp;7&amp;D&amp;C&amp;7&amp;P&amp;R&amp;7&amp;F</oddFooter>
      </headerFooter>
    </customSheetView>
    <customSheetView guid="{ECE607A2-8A26-46E0-8BDC-E9AD788F604C}" scale="85" showPageBreaks="1" showGridLines="0" view="pageBreakPreview" topLeftCell="A16">
      <selection activeCell="D35" sqref="D35"/>
      <pageMargins left="0.31496062992125984" right="0.31496062992125984" top="0.39370078740157483" bottom="0.39370078740157483" header="0.19685039370078741" footer="0.19685039370078741"/>
      <pageSetup paperSize="9" scale="77" orientation="portrait" r:id="rId4"/>
      <headerFooter alignWithMargins="0">
        <oddFooter>&amp;L&amp;7&amp;D&amp;C&amp;7&amp;P&amp;R&amp;7&amp;F</oddFooter>
      </headerFooter>
    </customSheetView>
    <customSheetView guid="{FB1E0752-409C-4E7D-BCFE-7AEBEB8B5F0D}" scale="85" showPageBreaks="1" showGridLines="0" view="pageBreakPreview" topLeftCell="A7">
      <selection activeCell="D35" sqref="D35"/>
      <pageMargins left="0.31496062992125984" right="0.31496062992125984" top="0.39370078740157483" bottom="0.39370078740157483" header="0.19685039370078741" footer="0.19685039370078741"/>
      <pageSetup paperSize="9" scale="77" orientation="portrait" r:id="rId5"/>
      <headerFooter alignWithMargins="0">
        <oddFooter>&amp;L&amp;7&amp;D&amp;C&amp;7&amp;P&amp;R&amp;7&amp;F</oddFooter>
      </headerFooter>
    </customSheetView>
  </customSheetViews>
  <mergeCells count="1">
    <mergeCell ref="E1:G1"/>
  </mergeCells>
  <phoneticPr fontId="0" type="noConversion"/>
  <pageMargins left="0.31496062992125984" right="0.31496062992125984" top="0.39370078740157483" bottom="0.39370078740157483" header="0.19685039370078741" footer="0.19685039370078741"/>
  <pageSetup paperSize="9" scale="77" orientation="portrait" r:id="rId6"/>
  <headerFooter alignWithMargins="0">
    <oddFooter>&amp;L&amp;7&amp;D&amp;C&amp;7&amp;P&amp;R&amp;7&amp;F</oddFooter>
  </headerFooter>
</worksheet>
</file>

<file path=xl/worksheets/sheet36.xml><?xml version="1.0" encoding="utf-8"?>
<worksheet xmlns="http://schemas.openxmlformats.org/spreadsheetml/2006/main" xmlns:r="http://schemas.openxmlformats.org/officeDocument/2006/relationships">
  <sheetPr codeName="Лист36"/>
  <dimension ref="B1:D39"/>
  <sheetViews>
    <sheetView topLeftCell="A12" workbookViewId="0">
      <selection activeCell="D23" sqref="D23"/>
    </sheetView>
  </sheetViews>
  <sheetFormatPr defaultRowHeight="15"/>
  <cols>
    <col min="1" max="1" width="2.140625" style="334" customWidth="1"/>
    <col min="2" max="2" width="10.42578125" style="334" bestFit="1" customWidth="1"/>
    <col min="3" max="3" width="74" style="334" customWidth="1"/>
    <col min="4" max="4" width="23.7109375" style="334" customWidth="1"/>
    <col min="5" max="7" width="9.140625" style="334"/>
    <col min="8" max="8" width="10" style="334" bestFit="1" customWidth="1"/>
    <col min="9" max="16384" width="9.140625" style="334"/>
  </cols>
  <sheetData>
    <row r="1" spans="2:4" ht="31.5" customHeight="1">
      <c r="B1" s="576"/>
      <c r="C1" s="1189" t="s">
        <v>1872</v>
      </c>
      <c r="D1" s="1173"/>
    </row>
    <row r="2" spans="2:4" ht="18">
      <c r="B2" s="577"/>
      <c r="C2" s="806" t="str">
        <f>T!E18</f>
        <v>Номгӯи ташкилоти қарзӣ</v>
      </c>
      <c r="D2" s="576"/>
    </row>
    <row r="3" spans="2:4" ht="19.5">
      <c r="B3" s="578"/>
      <c r="C3" s="810" t="str">
        <f>T!B10</f>
        <v>Ҳисобот дар санаи</v>
      </c>
      <c r="D3" s="579"/>
    </row>
    <row r="4" spans="2:4" ht="18">
      <c r="B4" s="576"/>
      <c r="C4" s="811" t="str">
        <f>'List of Scedules'!B35</f>
        <v>ҶАДВАЛИ 15.05. ҲИСОБОТ ОИД БА КИФОЯТИИ САРМОЯ</v>
      </c>
      <c r="D4" s="576"/>
    </row>
    <row r="5" spans="2:4" ht="18">
      <c r="B5" s="576"/>
      <c r="C5" s="577"/>
      <c r="D5" s="576"/>
    </row>
    <row r="6" spans="2:4" ht="36" customHeight="1">
      <c r="B6" s="812"/>
      <c r="C6" s="812" t="s">
        <v>1401</v>
      </c>
      <c r="D6" s="812" t="s">
        <v>1402</v>
      </c>
    </row>
    <row r="7" spans="2:4" ht="18">
      <c r="B7" s="813" t="s">
        <v>1839</v>
      </c>
      <c r="C7" s="814" t="s">
        <v>1742</v>
      </c>
      <c r="D7" s="1048">
        <f>SUM(D9:D17)</f>
        <v>0</v>
      </c>
    </row>
    <row r="8" spans="2:4" ht="18">
      <c r="B8" s="813"/>
      <c r="C8" s="815"/>
      <c r="D8" s="816"/>
    </row>
    <row r="9" spans="2:4" ht="18">
      <c r="B9" s="813" t="s">
        <v>1840</v>
      </c>
      <c r="C9" s="817" t="s">
        <v>1403</v>
      </c>
      <c r="D9" s="534"/>
    </row>
    <row r="10" spans="2:4" ht="16.5" customHeight="1">
      <c r="B10" s="813" t="s">
        <v>1841</v>
      </c>
      <c r="C10" s="818" t="s">
        <v>1405</v>
      </c>
      <c r="D10" s="534"/>
    </row>
    <row r="11" spans="2:4" ht="18">
      <c r="B11" s="813" t="s">
        <v>0</v>
      </c>
      <c r="C11" s="819" t="s">
        <v>1260</v>
      </c>
      <c r="D11" s="534"/>
    </row>
    <row r="12" spans="2:4" ht="18">
      <c r="B12" s="813" t="s">
        <v>1</v>
      </c>
      <c r="C12" s="817" t="s">
        <v>211</v>
      </c>
      <c r="D12" s="534"/>
    </row>
    <row r="13" spans="2:4" ht="18">
      <c r="B13" s="813" t="s">
        <v>2</v>
      </c>
      <c r="C13" s="817" t="s">
        <v>1406</v>
      </c>
      <c r="D13" s="534"/>
    </row>
    <row r="14" spans="2:4" ht="18">
      <c r="B14" s="813" t="s">
        <v>3</v>
      </c>
      <c r="C14" s="820" t="s">
        <v>212</v>
      </c>
      <c r="D14" s="534"/>
    </row>
    <row r="15" spans="2:4" ht="36">
      <c r="B15" s="813" t="s">
        <v>4</v>
      </c>
      <c r="C15" s="821" t="s">
        <v>1151</v>
      </c>
      <c r="D15" s="534"/>
    </row>
    <row r="16" spans="2:4" ht="18">
      <c r="B16" s="813" t="s">
        <v>5</v>
      </c>
      <c r="C16" s="817" t="s">
        <v>708</v>
      </c>
      <c r="D16" s="534"/>
    </row>
    <row r="17" spans="2:4" ht="18">
      <c r="B17" s="813" t="s">
        <v>6</v>
      </c>
      <c r="C17" s="817" t="s">
        <v>1261</v>
      </c>
      <c r="D17" s="9"/>
    </row>
    <row r="18" spans="2:4" ht="18">
      <c r="B18" s="813" t="s">
        <v>7</v>
      </c>
      <c r="C18" s="817" t="s">
        <v>1408</v>
      </c>
      <c r="D18" s="534"/>
    </row>
    <row r="19" spans="2:4" ht="18">
      <c r="B19" s="813" t="s">
        <v>8</v>
      </c>
      <c r="C19" s="817" t="s">
        <v>1409</v>
      </c>
      <c r="D19" s="534"/>
    </row>
    <row r="20" spans="2:4" ht="18">
      <c r="B20" s="813" t="s">
        <v>9</v>
      </c>
      <c r="C20" s="817" t="s">
        <v>1410</v>
      </c>
      <c r="D20" s="534"/>
    </row>
    <row r="21" spans="2:4" ht="18">
      <c r="B21" s="813" t="s">
        <v>1024</v>
      </c>
      <c r="C21" s="817" t="s">
        <v>1025</v>
      </c>
      <c r="D21" s="574"/>
    </row>
    <row r="22" spans="2:4" ht="36">
      <c r="B22" s="1060" t="s">
        <v>2267</v>
      </c>
      <c r="C22" s="1061" t="s">
        <v>2339</v>
      </c>
      <c r="D22" s="1062">
        <v>0</v>
      </c>
    </row>
    <row r="23" spans="2:4" ht="18">
      <c r="B23" s="1060" t="s">
        <v>2324</v>
      </c>
      <c r="C23" s="1061" t="s">
        <v>2340</v>
      </c>
      <c r="D23" s="1062">
        <v>0</v>
      </c>
    </row>
    <row r="24" spans="2:4" ht="18">
      <c r="B24" s="813" t="s">
        <v>10</v>
      </c>
      <c r="C24" s="814" t="s">
        <v>1152</v>
      </c>
      <c r="D24" s="825">
        <f>D7-D18-D19-D20-D21-D22-D23</f>
        <v>0</v>
      </c>
    </row>
    <row r="25" spans="2:4" ht="18">
      <c r="B25" s="813"/>
      <c r="C25" s="822"/>
      <c r="D25" s="574"/>
    </row>
    <row r="26" spans="2:4" ht="18">
      <c r="B26" s="813" t="s">
        <v>11</v>
      </c>
      <c r="C26" s="814" t="s">
        <v>1411</v>
      </c>
      <c r="D26" s="825">
        <f>SUM(D27:D33)</f>
        <v>0</v>
      </c>
    </row>
    <row r="27" spans="2:4" ht="36">
      <c r="B27" s="813" t="s">
        <v>12</v>
      </c>
      <c r="C27" s="823" t="s">
        <v>2211</v>
      </c>
      <c r="D27" s="574">
        <v>0</v>
      </c>
    </row>
    <row r="28" spans="2:4" ht="18">
      <c r="B28" s="813" t="s">
        <v>14</v>
      </c>
      <c r="C28" s="817" t="s">
        <v>1622</v>
      </c>
      <c r="D28" s="9">
        <v>0</v>
      </c>
    </row>
    <row r="29" spans="2:4" ht="18">
      <c r="B29" s="813" t="s">
        <v>15</v>
      </c>
      <c r="C29" s="817" t="s">
        <v>1412</v>
      </c>
      <c r="D29" s="574">
        <v>0</v>
      </c>
    </row>
    <row r="30" spans="2:4" ht="18">
      <c r="B30" s="813" t="s">
        <v>16</v>
      </c>
      <c r="C30" s="817" t="s">
        <v>1413</v>
      </c>
      <c r="D30" s="575">
        <v>0</v>
      </c>
    </row>
    <row r="31" spans="2:4" ht="18">
      <c r="B31" s="813" t="s">
        <v>1026</v>
      </c>
      <c r="C31" s="814" t="s">
        <v>1407</v>
      </c>
      <c r="D31" s="825">
        <f>IF(BC01.03!D13&gt;0,BC01.03!D13*0.5,0)</f>
        <v>0</v>
      </c>
    </row>
    <row r="32" spans="2:4" ht="18">
      <c r="B32" s="813" t="s">
        <v>1027</v>
      </c>
      <c r="C32" s="817" t="s">
        <v>1261</v>
      </c>
      <c r="D32" s="9"/>
    </row>
    <row r="33" spans="2:4" ht="36">
      <c r="B33" s="813" t="s">
        <v>18</v>
      </c>
      <c r="C33" s="824" t="s">
        <v>1414</v>
      </c>
      <c r="D33" s="825">
        <f>IF(D24&lt;0,0,IF(BC01.03!D24&gt;0.5*CA15.05!D24,0.5*D24,BC01.03!D24))</f>
        <v>0</v>
      </c>
    </row>
    <row r="34" spans="2:4" ht="72">
      <c r="B34" s="813" t="s">
        <v>17</v>
      </c>
      <c r="C34" s="824" t="s">
        <v>1153</v>
      </c>
      <c r="D34" s="825">
        <f>IF(D24&lt;0,D24+D26,IF(D26&lt;D24,D26+D24,2*D24))</f>
        <v>0</v>
      </c>
    </row>
    <row r="35" spans="2:4" ht="18">
      <c r="B35" s="813" t="s">
        <v>19</v>
      </c>
      <c r="C35" s="817" t="s">
        <v>1415</v>
      </c>
      <c r="D35" s="9">
        <v>0</v>
      </c>
    </row>
    <row r="36" spans="2:4" ht="18">
      <c r="B36" s="813" t="s">
        <v>628</v>
      </c>
      <c r="C36" s="814" t="s">
        <v>1416</v>
      </c>
      <c r="D36" s="825">
        <f>D34-D35</f>
        <v>0</v>
      </c>
    </row>
    <row r="37" spans="2:4">
      <c r="D37" s="809"/>
    </row>
    <row r="39" spans="2:4">
      <c r="D39" s="809"/>
    </row>
  </sheetData>
  <sheetProtection password="E9D4" sheet="1" objects="1" scenarios="1"/>
  <customSheetViews>
    <customSheetView guid="{871F8275-217B-436F-8813-871F820F0EE4}" scale="85" showPageBreaks="1" showGridLines="0" hiddenRows="1" view="pageBreakPreview" topLeftCell="A7">
      <selection activeCell="D32" sqref="D32"/>
      <pageMargins left="0.31496062992125984" right="0.31496062992125984" top="0.39370078740157483" bottom="0.39370078740157483" header="0.19685039370078741" footer="0.19685039370078741"/>
      <pageSetup paperSize="9" scale="90" orientation="portrait" r:id="rId1"/>
      <headerFooter alignWithMargins="0">
        <oddFooter>&amp;L&amp;7&amp;D&amp;C&amp;7&amp;P&amp;R&amp;7&amp;F</oddFooter>
      </headerFooter>
    </customSheetView>
    <customSheetView guid="{2EBF18CB-80C9-43ED-A978-2AAEAC40933E}" scale="75" showGridLines="0" showRuler="0" topLeftCell="A19">
      <selection activeCell="D27" sqref="D27"/>
      <pageMargins left="0.31496062992125984" right="0.31496062992125984" top="0.39370078740157483" bottom="0.39370078740157483" header="0.19685039370078741" footer="0.19685039370078741"/>
      <pageSetup paperSize="9" scale="90" orientation="portrait" horizontalDpi="300" verticalDpi="300" r:id="rId2"/>
      <headerFooter alignWithMargins="0">
        <oddFooter>&amp;L&amp;7&amp;D&amp;C&amp;7&amp;P&amp;R&amp;7&amp;F</oddFooter>
      </headerFooter>
    </customSheetView>
    <customSheetView guid="{47D3AB49-9599-4A16-951B-F48FEC1C0136}" scale="75" showGridLines="0">
      <selection activeCell="D33" sqref="D33"/>
      <pageMargins left="0.31496062992125984" right="0.31496062992125984" top="0.39370078740157483" bottom="0.39370078740157483" header="0.19685039370078741" footer="0.19685039370078741"/>
      <pageSetup paperSize="9" scale="90" orientation="portrait" horizontalDpi="300" verticalDpi="300" r:id="rId3"/>
      <headerFooter alignWithMargins="0">
        <oddFooter>&amp;L&amp;7&amp;D&amp;C&amp;7&amp;P&amp;R&amp;7&amp;F</oddFooter>
      </headerFooter>
    </customSheetView>
    <customSheetView guid="{ECE607A2-8A26-46E0-8BDC-E9AD788F604C}" scale="85" showPageBreaks="1" showGridLines="0" hiddenRows="1" view="pageBreakPreview" topLeftCell="A16">
      <selection activeCell="D35" sqref="D35"/>
      <pageMargins left="0.31496062992125984" right="0.31496062992125984" top="0.39370078740157483" bottom="0.39370078740157483" header="0.19685039370078741" footer="0.19685039370078741"/>
      <pageSetup paperSize="9" scale="90" orientation="portrait" r:id="rId4"/>
      <headerFooter alignWithMargins="0">
        <oddFooter>&amp;L&amp;7&amp;D&amp;C&amp;7&amp;P&amp;R&amp;7&amp;F</oddFooter>
      </headerFooter>
    </customSheetView>
    <customSheetView guid="{FB1E0752-409C-4E7D-BCFE-7AEBEB8B5F0D}" scale="85" showPageBreaks="1" showGridLines="0" hiddenRows="1" view="pageBreakPreview" topLeftCell="A13">
      <selection activeCell="D9" sqref="D9"/>
      <pageMargins left="0.31496062992125984" right="0.31496062992125984" top="0.39370078740157483" bottom="0.39370078740157483" header="0.19685039370078741" footer="0.19685039370078741"/>
      <pageSetup paperSize="9" scale="90" orientation="portrait" r:id="rId5"/>
      <headerFooter alignWithMargins="0">
        <oddFooter>&amp;L&amp;7&amp;D&amp;C&amp;7&amp;P&amp;R&amp;7&amp;F</oddFooter>
      </headerFooter>
    </customSheetView>
  </customSheetViews>
  <mergeCells count="1">
    <mergeCell ref="C1:D1"/>
  </mergeCells>
  <phoneticPr fontId="0" type="noConversion"/>
  <pageMargins left="0.31496062992125984" right="0.31496062992125984" top="0.39370078740157483" bottom="0.39370078740157483" header="0.19685039370078741" footer="0.19685039370078741"/>
  <pageSetup paperSize="9" scale="90" orientation="portrait" r:id="rId6"/>
  <headerFooter alignWithMargins="0">
    <oddFooter>&amp;L&amp;7&amp;D&amp;C&amp;7&amp;P&amp;R&amp;7&amp;F</oddFooter>
  </headerFooter>
</worksheet>
</file>

<file path=xl/worksheets/sheet37.xml><?xml version="1.0" encoding="utf-8"?>
<worksheet xmlns="http://schemas.openxmlformats.org/spreadsheetml/2006/main" xmlns:r="http://schemas.openxmlformats.org/officeDocument/2006/relationships">
  <sheetPr codeName="Лист37"/>
  <dimension ref="B1:E372"/>
  <sheetViews>
    <sheetView topLeftCell="A9" workbookViewId="0">
      <selection activeCell="D28" sqref="D28"/>
    </sheetView>
  </sheetViews>
  <sheetFormatPr defaultRowHeight="15"/>
  <cols>
    <col min="1" max="1" width="2.7109375" style="216" customWidth="1"/>
    <col min="2" max="2" width="11.85546875" style="216" customWidth="1"/>
    <col min="3" max="3" width="87" style="216" customWidth="1"/>
    <col min="4" max="4" width="20.7109375" style="216" customWidth="1"/>
    <col min="5" max="16384" width="9.140625" style="216"/>
  </cols>
  <sheetData>
    <row r="1" spans="2:5" s="334" customFormat="1" ht="30.75" customHeight="1">
      <c r="B1" s="594"/>
      <c r="C1" s="1167" t="s">
        <v>1873</v>
      </c>
      <c r="D1" s="1168"/>
      <c r="E1" s="595"/>
    </row>
    <row r="2" spans="2:5" s="334" customFormat="1" ht="18">
      <c r="B2" s="594"/>
      <c r="C2" s="39" t="str">
        <f>T!E18</f>
        <v>Номгӯи ташкилоти қарзӣ</v>
      </c>
      <c r="D2" s="596"/>
      <c r="E2" s="595"/>
    </row>
    <row r="3" spans="2:5" s="334" customFormat="1" ht="18">
      <c r="B3" s="594"/>
      <c r="C3" s="597" t="str">
        <f>T!B10</f>
        <v>Ҳисобот дар санаи</v>
      </c>
      <c r="D3" s="596"/>
      <c r="E3" s="595"/>
    </row>
    <row r="4" spans="2:5" s="334" customFormat="1" ht="18">
      <c r="B4" s="598"/>
      <c r="C4" s="599" t="str">
        <f>'List of Scedules'!B36</f>
        <v>ҶАДВАЛИ 16.01. НИШОНДИҲАНДАҲОИ МОҲОНАИ МИЁНА</v>
      </c>
      <c r="D4" s="600"/>
      <c r="E4" s="601"/>
    </row>
    <row r="5" spans="2:5" ht="19.5">
      <c r="B5" s="602"/>
      <c r="C5" s="603"/>
      <c r="D5" s="604"/>
      <c r="E5" s="605"/>
    </row>
    <row r="6" spans="2:5" ht="18">
      <c r="B6" s="581"/>
      <c r="C6" s="582"/>
      <c r="D6" s="583" t="s">
        <v>1417</v>
      </c>
      <c r="E6" s="605"/>
    </row>
    <row r="7" spans="2:5" ht="18">
      <c r="B7" s="584" t="s">
        <v>100</v>
      </c>
      <c r="C7" s="585" t="s">
        <v>1418</v>
      </c>
      <c r="D7" s="9"/>
      <c r="E7" s="605"/>
    </row>
    <row r="8" spans="2:5" ht="18">
      <c r="B8" s="584"/>
      <c r="C8" s="537"/>
      <c r="D8" s="587"/>
      <c r="E8" s="605"/>
    </row>
    <row r="9" spans="2:5" ht="18">
      <c r="B9" s="584" t="s">
        <v>101</v>
      </c>
      <c r="C9" s="588" t="s">
        <v>1769</v>
      </c>
      <c r="D9" s="9"/>
      <c r="E9" s="605"/>
    </row>
    <row r="10" spans="2:5" ht="18">
      <c r="B10" s="584" t="s">
        <v>102</v>
      </c>
      <c r="C10" s="588" t="s">
        <v>1498</v>
      </c>
      <c r="D10" s="9"/>
      <c r="E10" s="605"/>
    </row>
    <row r="11" spans="2:5" ht="18">
      <c r="B11" s="584" t="s">
        <v>1419</v>
      </c>
      <c r="C11" s="588" t="s">
        <v>1420</v>
      </c>
      <c r="D11" s="9"/>
      <c r="E11" s="605"/>
    </row>
    <row r="12" spans="2:5" ht="18">
      <c r="B12" s="584" t="s">
        <v>103</v>
      </c>
      <c r="C12" s="588" t="s">
        <v>226</v>
      </c>
      <c r="D12" s="9"/>
      <c r="E12" s="605"/>
    </row>
    <row r="13" spans="2:5" ht="18">
      <c r="B13" s="584" t="s">
        <v>104</v>
      </c>
      <c r="C13" s="588" t="s">
        <v>1656</v>
      </c>
      <c r="D13" s="9"/>
      <c r="E13" s="605"/>
    </row>
    <row r="14" spans="2:5" ht="18">
      <c r="B14" s="584" t="s">
        <v>105</v>
      </c>
      <c r="C14" s="588" t="s">
        <v>1294</v>
      </c>
      <c r="D14" s="9"/>
      <c r="E14" s="605"/>
    </row>
    <row r="15" spans="2:5" ht="18">
      <c r="B15" s="584" t="s">
        <v>106</v>
      </c>
      <c r="C15" s="588" t="s">
        <v>1302</v>
      </c>
      <c r="D15" s="9"/>
      <c r="E15" s="605"/>
    </row>
    <row r="16" spans="2:5" ht="18">
      <c r="B16" s="584" t="s">
        <v>107</v>
      </c>
      <c r="C16" s="588" t="s">
        <v>1421</v>
      </c>
      <c r="D16" s="9"/>
      <c r="E16" s="605"/>
    </row>
    <row r="17" spans="2:5" ht="18">
      <c r="B17" s="584" t="s">
        <v>108</v>
      </c>
      <c r="C17" s="423" t="s">
        <v>1422</v>
      </c>
      <c r="D17" s="9"/>
      <c r="E17" s="605"/>
    </row>
    <row r="18" spans="2:5" ht="18">
      <c r="B18" s="584" t="s">
        <v>109</v>
      </c>
      <c r="C18" s="420" t="s">
        <v>1423</v>
      </c>
      <c r="D18" s="9"/>
      <c r="E18" s="605"/>
    </row>
    <row r="19" spans="2:5" ht="18">
      <c r="B19" s="584" t="s">
        <v>110</v>
      </c>
      <c r="C19" s="422" t="s">
        <v>1424</v>
      </c>
      <c r="D19" s="9"/>
      <c r="E19" s="605"/>
    </row>
    <row r="20" spans="2:5" ht="18">
      <c r="B20" s="584" t="s">
        <v>1425</v>
      </c>
      <c r="C20" s="8" t="s">
        <v>1155</v>
      </c>
      <c r="D20" s="9"/>
      <c r="E20" s="605"/>
    </row>
    <row r="21" spans="2:5" ht="18">
      <c r="B21" s="584" t="s">
        <v>111</v>
      </c>
      <c r="C21" s="422" t="s">
        <v>1426</v>
      </c>
      <c r="D21" s="9"/>
      <c r="E21" s="605"/>
    </row>
    <row r="22" spans="2:5" ht="18">
      <c r="B22" s="584" t="s">
        <v>112</v>
      </c>
      <c r="C22" s="247" t="s">
        <v>1427</v>
      </c>
      <c r="D22" s="9"/>
      <c r="E22" s="605"/>
    </row>
    <row r="23" spans="2:5" ht="18">
      <c r="B23" s="584" t="s">
        <v>113</v>
      </c>
      <c r="C23" s="423" t="s">
        <v>1428</v>
      </c>
      <c r="D23" s="9"/>
      <c r="E23" s="605"/>
    </row>
    <row r="24" spans="2:5" ht="18">
      <c r="B24" s="584" t="s">
        <v>114</v>
      </c>
      <c r="C24" s="588" t="s">
        <v>1429</v>
      </c>
      <c r="D24" s="9"/>
      <c r="E24" s="605"/>
    </row>
    <row r="25" spans="2:5" ht="18">
      <c r="B25" s="10" t="s">
        <v>1430</v>
      </c>
      <c r="C25" s="8" t="s">
        <v>1475</v>
      </c>
      <c r="D25" s="9"/>
      <c r="E25" s="605"/>
    </row>
    <row r="26" spans="2:5" ht="18">
      <c r="B26" s="584" t="s">
        <v>115</v>
      </c>
      <c r="C26" s="588" t="s">
        <v>1431</v>
      </c>
      <c r="D26" s="9"/>
      <c r="E26" s="605"/>
    </row>
    <row r="27" spans="2:5" ht="18">
      <c r="B27" s="584" t="s">
        <v>116</v>
      </c>
      <c r="C27" s="585" t="s">
        <v>1432</v>
      </c>
      <c r="D27" s="590">
        <f>+D9+D10+D11+D12+D13+D14+D15+D16+D24+D25+D26</f>
        <v>0</v>
      </c>
      <c r="E27" s="605"/>
    </row>
    <row r="28" spans="2:5" ht="18">
      <c r="B28" s="537"/>
      <c r="C28" s="591"/>
      <c r="D28" s="592"/>
      <c r="E28" s="605"/>
    </row>
    <row r="29" spans="2:5" ht="18">
      <c r="B29" s="584" t="s">
        <v>117</v>
      </c>
      <c r="C29" s="588" t="s">
        <v>1772</v>
      </c>
      <c r="D29" s="9"/>
      <c r="E29" s="605"/>
    </row>
    <row r="30" spans="2:5" ht="18">
      <c r="B30" s="584" t="s">
        <v>118</v>
      </c>
      <c r="C30" s="588" t="s">
        <v>1433</v>
      </c>
      <c r="D30" s="9"/>
      <c r="E30" s="605"/>
    </row>
    <row r="31" spans="2:5" ht="18">
      <c r="B31" s="584" t="s">
        <v>1434</v>
      </c>
      <c r="C31" s="588" t="s">
        <v>1435</v>
      </c>
      <c r="D31" s="9"/>
      <c r="E31" s="605"/>
    </row>
    <row r="32" spans="2:5" ht="18">
      <c r="B32" s="584" t="s">
        <v>119</v>
      </c>
      <c r="C32" s="588" t="s">
        <v>1436</v>
      </c>
      <c r="D32" s="9"/>
      <c r="E32" s="605"/>
    </row>
    <row r="33" spans="2:5" ht="18">
      <c r="B33" s="584" t="s">
        <v>120</v>
      </c>
      <c r="C33" s="588" t="s">
        <v>197</v>
      </c>
      <c r="D33" s="9"/>
      <c r="E33" s="605"/>
    </row>
    <row r="34" spans="2:5" ht="18">
      <c r="B34" s="584" t="s">
        <v>121</v>
      </c>
      <c r="C34" s="588" t="s">
        <v>198</v>
      </c>
      <c r="D34" s="9"/>
      <c r="E34" s="605"/>
    </row>
    <row r="35" spans="2:5" ht="18">
      <c r="B35" s="584" t="s">
        <v>422</v>
      </c>
      <c r="C35" s="588" t="s">
        <v>1044</v>
      </c>
      <c r="D35" s="9"/>
      <c r="E35" s="605"/>
    </row>
    <row r="36" spans="2:5" ht="18">
      <c r="B36" s="584" t="s">
        <v>423</v>
      </c>
      <c r="C36" s="588" t="s">
        <v>1302</v>
      </c>
      <c r="D36" s="9"/>
      <c r="E36" s="605"/>
    </row>
    <row r="37" spans="2:5" ht="18">
      <c r="B37" s="584" t="s">
        <v>424</v>
      </c>
      <c r="C37" s="588" t="s">
        <v>1154</v>
      </c>
      <c r="D37" s="9"/>
      <c r="E37" s="605"/>
    </row>
    <row r="38" spans="2:5" ht="18">
      <c r="B38" s="584" t="s">
        <v>425</v>
      </c>
      <c r="C38" s="588" t="s">
        <v>1437</v>
      </c>
      <c r="D38" s="132"/>
      <c r="E38" s="606"/>
    </row>
    <row r="39" spans="2:5" ht="18">
      <c r="B39" s="584" t="s">
        <v>426</v>
      </c>
      <c r="C39" s="593" t="s">
        <v>1156</v>
      </c>
      <c r="D39" s="9"/>
    </row>
    <row r="40" spans="2:5" ht="18">
      <c r="B40" s="584" t="s">
        <v>314</v>
      </c>
      <c r="C40" s="585" t="s">
        <v>1438</v>
      </c>
      <c r="D40" s="590">
        <f>SUM(D29:D39)</f>
        <v>0</v>
      </c>
    </row>
    <row r="41" spans="2:5">
      <c r="D41" s="607"/>
    </row>
    <row r="42" spans="2:5">
      <c r="D42" s="607"/>
    </row>
    <row r="43" spans="2:5">
      <c r="D43" s="607"/>
    </row>
    <row r="44" spans="2:5">
      <c r="D44" s="607"/>
    </row>
    <row r="45" spans="2:5">
      <c r="D45" s="607"/>
    </row>
    <row r="46" spans="2:5">
      <c r="D46" s="607"/>
    </row>
    <row r="47" spans="2:5">
      <c r="D47" s="607"/>
    </row>
    <row r="48" spans="2:5">
      <c r="D48" s="607"/>
    </row>
    <row r="49" spans="4:4">
      <c r="D49" s="607"/>
    </row>
    <row r="50" spans="4:4">
      <c r="D50" s="607"/>
    </row>
    <row r="51" spans="4:4">
      <c r="D51" s="607"/>
    </row>
    <row r="52" spans="4:4">
      <c r="D52" s="607"/>
    </row>
    <row r="53" spans="4:4">
      <c r="D53" s="607"/>
    </row>
    <row r="54" spans="4:4">
      <c r="D54" s="607"/>
    </row>
    <row r="55" spans="4:4">
      <c r="D55" s="607"/>
    </row>
    <row r="56" spans="4:4">
      <c r="D56" s="607"/>
    </row>
    <row r="57" spans="4:4">
      <c r="D57" s="607"/>
    </row>
    <row r="58" spans="4:4">
      <c r="D58" s="607"/>
    </row>
    <row r="59" spans="4:4">
      <c r="D59" s="607"/>
    </row>
    <row r="60" spans="4:4">
      <c r="D60" s="607"/>
    </row>
    <row r="61" spans="4:4">
      <c r="D61" s="607"/>
    </row>
    <row r="62" spans="4:4">
      <c r="D62" s="607"/>
    </row>
    <row r="63" spans="4:4">
      <c r="D63" s="607"/>
    </row>
    <row r="64" spans="4:4">
      <c r="D64" s="607"/>
    </row>
    <row r="65" spans="4:4">
      <c r="D65" s="607"/>
    </row>
    <row r="66" spans="4:4">
      <c r="D66" s="607"/>
    </row>
    <row r="67" spans="4:4">
      <c r="D67" s="607"/>
    </row>
    <row r="68" spans="4:4">
      <c r="D68" s="607"/>
    </row>
    <row r="69" spans="4:4">
      <c r="D69" s="607"/>
    </row>
    <row r="70" spans="4:4">
      <c r="D70" s="607"/>
    </row>
    <row r="71" spans="4:4">
      <c r="D71" s="607"/>
    </row>
    <row r="72" spans="4:4">
      <c r="D72" s="607"/>
    </row>
    <row r="73" spans="4:4">
      <c r="D73" s="607"/>
    </row>
    <row r="74" spans="4:4">
      <c r="D74" s="607"/>
    </row>
    <row r="75" spans="4:4">
      <c r="D75" s="607"/>
    </row>
    <row r="76" spans="4:4">
      <c r="D76" s="607"/>
    </row>
    <row r="77" spans="4:4">
      <c r="D77" s="607"/>
    </row>
    <row r="78" spans="4:4">
      <c r="D78" s="607"/>
    </row>
    <row r="79" spans="4:4">
      <c r="D79" s="607"/>
    </row>
    <row r="80" spans="4:4">
      <c r="D80" s="607"/>
    </row>
    <row r="81" spans="4:4">
      <c r="D81" s="607"/>
    </row>
    <row r="82" spans="4:4">
      <c r="D82" s="607"/>
    </row>
    <row r="83" spans="4:4">
      <c r="D83" s="607"/>
    </row>
    <row r="84" spans="4:4">
      <c r="D84" s="607"/>
    </row>
    <row r="85" spans="4:4">
      <c r="D85" s="607"/>
    </row>
    <row r="86" spans="4:4">
      <c r="D86" s="607"/>
    </row>
    <row r="87" spans="4:4">
      <c r="D87" s="607"/>
    </row>
    <row r="88" spans="4:4">
      <c r="D88" s="607"/>
    </row>
    <row r="89" spans="4:4">
      <c r="D89" s="607"/>
    </row>
    <row r="90" spans="4:4">
      <c r="D90" s="607"/>
    </row>
    <row r="91" spans="4:4">
      <c r="D91" s="607"/>
    </row>
    <row r="92" spans="4:4">
      <c r="D92" s="607"/>
    </row>
    <row r="93" spans="4:4">
      <c r="D93" s="607"/>
    </row>
    <row r="94" spans="4:4">
      <c r="D94" s="607"/>
    </row>
    <row r="95" spans="4:4">
      <c r="D95" s="607"/>
    </row>
    <row r="96" spans="4:4">
      <c r="D96" s="607"/>
    </row>
    <row r="97" spans="4:4">
      <c r="D97" s="607"/>
    </row>
    <row r="98" spans="4:4">
      <c r="D98" s="607"/>
    </row>
    <row r="99" spans="4:4">
      <c r="D99" s="607"/>
    </row>
    <row r="100" spans="4:4">
      <c r="D100" s="607"/>
    </row>
    <row r="101" spans="4:4">
      <c r="D101" s="607"/>
    </row>
    <row r="102" spans="4:4">
      <c r="D102" s="607"/>
    </row>
    <row r="103" spans="4:4">
      <c r="D103" s="607"/>
    </row>
    <row r="104" spans="4:4">
      <c r="D104" s="607"/>
    </row>
    <row r="105" spans="4:4">
      <c r="D105" s="607"/>
    </row>
    <row r="106" spans="4:4">
      <c r="D106" s="607"/>
    </row>
    <row r="107" spans="4:4">
      <c r="D107" s="607"/>
    </row>
    <row r="108" spans="4:4">
      <c r="D108" s="607"/>
    </row>
    <row r="109" spans="4:4">
      <c r="D109" s="607"/>
    </row>
    <row r="110" spans="4:4">
      <c r="D110" s="607"/>
    </row>
    <row r="111" spans="4:4">
      <c r="D111" s="607"/>
    </row>
    <row r="112" spans="4:4">
      <c r="D112" s="607"/>
    </row>
    <row r="113" spans="4:4">
      <c r="D113" s="607"/>
    </row>
    <row r="114" spans="4:4">
      <c r="D114" s="607"/>
    </row>
    <row r="115" spans="4:4">
      <c r="D115" s="607"/>
    </row>
    <row r="116" spans="4:4">
      <c r="D116" s="607"/>
    </row>
    <row r="117" spans="4:4">
      <c r="D117" s="607"/>
    </row>
    <row r="118" spans="4:4">
      <c r="D118" s="607"/>
    </row>
    <row r="119" spans="4:4">
      <c r="D119" s="607"/>
    </row>
    <row r="120" spans="4:4">
      <c r="D120" s="607"/>
    </row>
    <row r="121" spans="4:4">
      <c r="D121" s="607"/>
    </row>
    <row r="122" spans="4:4">
      <c r="D122" s="607"/>
    </row>
    <row r="123" spans="4:4">
      <c r="D123" s="607"/>
    </row>
    <row r="124" spans="4:4">
      <c r="D124" s="607"/>
    </row>
    <row r="125" spans="4:4">
      <c r="D125" s="607"/>
    </row>
    <row r="126" spans="4:4">
      <c r="D126" s="607"/>
    </row>
    <row r="127" spans="4:4">
      <c r="D127" s="607"/>
    </row>
    <row r="128" spans="4:4">
      <c r="D128" s="607"/>
    </row>
    <row r="129" spans="4:4">
      <c r="D129" s="607"/>
    </row>
    <row r="130" spans="4:4">
      <c r="D130" s="607"/>
    </row>
    <row r="131" spans="4:4">
      <c r="D131" s="607"/>
    </row>
    <row r="132" spans="4:4">
      <c r="D132" s="607"/>
    </row>
    <row r="133" spans="4:4">
      <c r="D133" s="607"/>
    </row>
    <row r="134" spans="4:4">
      <c r="D134" s="607"/>
    </row>
    <row r="135" spans="4:4">
      <c r="D135" s="607"/>
    </row>
    <row r="136" spans="4:4">
      <c r="D136" s="607"/>
    </row>
    <row r="137" spans="4:4">
      <c r="D137" s="607"/>
    </row>
    <row r="138" spans="4:4">
      <c r="D138" s="607"/>
    </row>
    <row r="139" spans="4:4">
      <c r="D139" s="607"/>
    </row>
    <row r="140" spans="4:4">
      <c r="D140" s="607"/>
    </row>
    <row r="141" spans="4:4">
      <c r="D141" s="607"/>
    </row>
    <row r="142" spans="4:4">
      <c r="D142" s="607"/>
    </row>
    <row r="143" spans="4:4">
      <c r="D143" s="607"/>
    </row>
    <row r="144" spans="4:4">
      <c r="D144" s="607"/>
    </row>
    <row r="145" spans="4:4">
      <c r="D145" s="607"/>
    </row>
    <row r="146" spans="4:4">
      <c r="D146" s="607"/>
    </row>
    <row r="147" spans="4:4">
      <c r="D147" s="607"/>
    </row>
    <row r="148" spans="4:4">
      <c r="D148" s="607"/>
    </row>
    <row r="149" spans="4:4">
      <c r="D149" s="607"/>
    </row>
    <row r="150" spans="4:4">
      <c r="D150" s="607"/>
    </row>
    <row r="151" spans="4:4">
      <c r="D151" s="607"/>
    </row>
    <row r="152" spans="4:4">
      <c r="D152" s="607"/>
    </row>
    <row r="153" spans="4:4">
      <c r="D153" s="607"/>
    </row>
    <row r="154" spans="4:4">
      <c r="D154" s="607"/>
    </row>
    <row r="155" spans="4:4">
      <c r="D155" s="607"/>
    </row>
    <row r="156" spans="4:4">
      <c r="D156" s="607"/>
    </row>
    <row r="157" spans="4:4">
      <c r="D157" s="607"/>
    </row>
    <row r="158" spans="4:4">
      <c r="D158" s="607"/>
    </row>
    <row r="159" spans="4:4">
      <c r="D159" s="607"/>
    </row>
    <row r="160" spans="4:4">
      <c r="D160" s="607"/>
    </row>
    <row r="161" spans="4:4">
      <c r="D161" s="607"/>
    </row>
    <row r="162" spans="4:4">
      <c r="D162" s="607"/>
    </row>
    <row r="163" spans="4:4">
      <c r="D163" s="607"/>
    </row>
    <row r="164" spans="4:4">
      <c r="D164" s="607"/>
    </row>
    <row r="165" spans="4:4">
      <c r="D165" s="607"/>
    </row>
    <row r="166" spans="4:4">
      <c r="D166" s="607"/>
    </row>
    <row r="167" spans="4:4">
      <c r="D167" s="607"/>
    </row>
    <row r="168" spans="4:4">
      <c r="D168" s="607"/>
    </row>
    <row r="169" spans="4:4">
      <c r="D169" s="607"/>
    </row>
    <row r="170" spans="4:4">
      <c r="D170" s="607"/>
    </row>
    <row r="171" spans="4:4">
      <c r="D171" s="607"/>
    </row>
    <row r="172" spans="4:4">
      <c r="D172" s="607"/>
    </row>
    <row r="173" spans="4:4">
      <c r="D173" s="607"/>
    </row>
    <row r="174" spans="4:4">
      <c r="D174" s="607"/>
    </row>
    <row r="175" spans="4:4">
      <c r="D175" s="607"/>
    </row>
    <row r="176" spans="4:4">
      <c r="D176" s="607"/>
    </row>
    <row r="177" spans="4:4">
      <c r="D177" s="607"/>
    </row>
    <row r="178" spans="4:4">
      <c r="D178" s="607"/>
    </row>
    <row r="179" spans="4:4">
      <c r="D179" s="607"/>
    </row>
    <row r="180" spans="4:4">
      <c r="D180" s="607"/>
    </row>
    <row r="181" spans="4:4">
      <c r="D181" s="607"/>
    </row>
    <row r="182" spans="4:4">
      <c r="D182" s="607"/>
    </row>
    <row r="183" spans="4:4">
      <c r="D183" s="607"/>
    </row>
    <row r="184" spans="4:4">
      <c r="D184" s="607"/>
    </row>
    <row r="185" spans="4:4">
      <c r="D185" s="607"/>
    </row>
    <row r="186" spans="4:4">
      <c r="D186" s="607"/>
    </row>
    <row r="187" spans="4:4">
      <c r="D187" s="607"/>
    </row>
    <row r="188" spans="4:4">
      <c r="D188" s="607"/>
    </row>
    <row r="189" spans="4:4">
      <c r="D189" s="607"/>
    </row>
    <row r="190" spans="4:4">
      <c r="D190" s="607"/>
    </row>
    <row r="191" spans="4:4">
      <c r="D191" s="607"/>
    </row>
    <row r="192" spans="4:4">
      <c r="D192" s="607"/>
    </row>
    <row r="193" spans="4:4">
      <c r="D193" s="607"/>
    </row>
    <row r="194" spans="4:4">
      <c r="D194" s="607"/>
    </row>
    <row r="195" spans="4:4">
      <c r="D195" s="607"/>
    </row>
    <row r="196" spans="4:4">
      <c r="D196" s="607"/>
    </row>
    <row r="197" spans="4:4">
      <c r="D197" s="607"/>
    </row>
    <row r="198" spans="4:4">
      <c r="D198" s="607"/>
    </row>
    <row r="199" spans="4:4">
      <c r="D199" s="607"/>
    </row>
    <row r="200" spans="4:4">
      <c r="D200" s="607"/>
    </row>
    <row r="201" spans="4:4">
      <c r="D201" s="607"/>
    </row>
    <row r="202" spans="4:4">
      <c r="D202" s="607"/>
    </row>
    <row r="203" spans="4:4">
      <c r="D203" s="607"/>
    </row>
    <row r="204" spans="4:4">
      <c r="D204" s="607"/>
    </row>
    <row r="205" spans="4:4">
      <c r="D205" s="607"/>
    </row>
    <row r="206" spans="4:4">
      <c r="D206" s="607"/>
    </row>
    <row r="207" spans="4:4">
      <c r="D207" s="607"/>
    </row>
    <row r="208" spans="4:4">
      <c r="D208" s="607"/>
    </row>
    <row r="209" spans="4:4">
      <c r="D209" s="607"/>
    </row>
    <row r="210" spans="4:4">
      <c r="D210" s="607"/>
    </row>
    <row r="211" spans="4:4">
      <c r="D211" s="607"/>
    </row>
    <row r="212" spans="4:4">
      <c r="D212" s="607"/>
    </row>
    <row r="213" spans="4:4">
      <c r="D213" s="607"/>
    </row>
    <row r="214" spans="4:4">
      <c r="D214" s="607"/>
    </row>
    <row r="215" spans="4:4">
      <c r="D215" s="607"/>
    </row>
    <row r="216" spans="4:4">
      <c r="D216" s="607"/>
    </row>
    <row r="217" spans="4:4">
      <c r="D217" s="607"/>
    </row>
    <row r="218" spans="4:4">
      <c r="D218" s="607"/>
    </row>
    <row r="219" spans="4:4">
      <c r="D219" s="607"/>
    </row>
    <row r="220" spans="4:4">
      <c r="D220" s="607"/>
    </row>
    <row r="221" spans="4:4">
      <c r="D221" s="607"/>
    </row>
    <row r="222" spans="4:4">
      <c r="D222" s="607"/>
    </row>
    <row r="223" spans="4:4">
      <c r="D223" s="607"/>
    </row>
    <row r="224" spans="4:4">
      <c r="D224" s="607"/>
    </row>
    <row r="225" spans="4:4">
      <c r="D225" s="607"/>
    </row>
    <row r="226" spans="4:4">
      <c r="D226" s="607"/>
    </row>
    <row r="227" spans="4:4">
      <c r="D227" s="607"/>
    </row>
    <row r="228" spans="4:4">
      <c r="D228" s="607"/>
    </row>
    <row r="229" spans="4:4">
      <c r="D229" s="607"/>
    </row>
    <row r="230" spans="4:4">
      <c r="D230" s="607"/>
    </row>
    <row r="231" spans="4:4">
      <c r="D231" s="607"/>
    </row>
    <row r="232" spans="4:4">
      <c r="D232" s="607"/>
    </row>
    <row r="233" spans="4:4">
      <c r="D233" s="607"/>
    </row>
    <row r="234" spans="4:4">
      <c r="D234" s="607"/>
    </row>
    <row r="235" spans="4:4">
      <c r="D235" s="607"/>
    </row>
    <row r="236" spans="4:4">
      <c r="D236" s="607"/>
    </row>
    <row r="237" spans="4:4">
      <c r="D237" s="607"/>
    </row>
    <row r="238" spans="4:4">
      <c r="D238" s="607"/>
    </row>
    <row r="239" spans="4:4">
      <c r="D239" s="607"/>
    </row>
    <row r="240" spans="4:4">
      <c r="D240" s="607"/>
    </row>
    <row r="241" spans="4:4">
      <c r="D241" s="607"/>
    </row>
    <row r="242" spans="4:4">
      <c r="D242" s="607"/>
    </row>
    <row r="243" spans="4:4">
      <c r="D243" s="607"/>
    </row>
    <row r="244" spans="4:4">
      <c r="D244" s="607"/>
    </row>
    <row r="245" spans="4:4">
      <c r="D245" s="607"/>
    </row>
    <row r="246" spans="4:4">
      <c r="D246" s="607"/>
    </row>
    <row r="247" spans="4:4">
      <c r="D247" s="607"/>
    </row>
    <row r="248" spans="4:4">
      <c r="D248" s="607"/>
    </row>
    <row r="249" spans="4:4">
      <c r="D249" s="607"/>
    </row>
    <row r="250" spans="4:4">
      <c r="D250" s="607"/>
    </row>
    <row r="251" spans="4:4">
      <c r="D251" s="607"/>
    </row>
    <row r="252" spans="4:4">
      <c r="D252" s="607"/>
    </row>
    <row r="253" spans="4:4">
      <c r="D253" s="607"/>
    </row>
    <row r="254" spans="4:4">
      <c r="D254" s="607"/>
    </row>
    <row r="255" spans="4:4">
      <c r="D255" s="607"/>
    </row>
    <row r="256" spans="4:4">
      <c r="D256" s="607"/>
    </row>
    <row r="257" spans="4:4">
      <c r="D257" s="607"/>
    </row>
    <row r="258" spans="4:4">
      <c r="D258" s="607"/>
    </row>
    <row r="259" spans="4:4">
      <c r="D259" s="607"/>
    </row>
    <row r="260" spans="4:4">
      <c r="D260" s="607"/>
    </row>
    <row r="261" spans="4:4">
      <c r="D261" s="607"/>
    </row>
    <row r="262" spans="4:4">
      <c r="D262" s="607"/>
    </row>
    <row r="263" spans="4:4">
      <c r="D263" s="607"/>
    </row>
    <row r="264" spans="4:4">
      <c r="D264" s="607"/>
    </row>
    <row r="265" spans="4:4">
      <c r="D265" s="607"/>
    </row>
    <row r="266" spans="4:4">
      <c r="D266" s="607"/>
    </row>
    <row r="267" spans="4:4">
      <c r="D267" s="607"/>
    </row>
    <row r="268" spans="4:4">
      <c r="D268" s="607"/>
    </row>
    <row r="269" spans="4:4">
      <c r="D269" s="607"/>
    </row>
    <row r="270" spans="4:4">
      <c r="D270" s="607"/>
    </row>
    <row r="271" spans="4:4">
      <c r="D271" s="607"/>
    </row>
    <row r="272" spans="4:4">
      <c r="D272" s="607"/>
    </row>
    <row r="273" spans="4:4">
      <c r="D273" s="607"/>
    </row>
    <row r="274" spans="4:4">
      <c r="D274" s="607"/>
    </row>
    <row r="275" spans="4:4">
      <c r="D275" s="607"/>
    </row>
    <row r="276" spans="4:4">
      <c r="D276" s="607"/>
    </row>
    <row r="277" spans="4:4">
      <c r="D277" s="607"/>
    </row>
    <row r="278" spans="4:4">
      <c r="D278" s="607"/>
    </row>
    <row r="279" spans="4:4">
      <c r="D279" s="607"/>
    </row>
    <row r="280" spans="4:4">
      <c r="D280" s="607"/>
    </row>
    <row r="281" spans="4:4">
      <c r="D281" s="607"/>
    </row>
    <row r="282" spans="4:4">
      <c r="D282" s="607"/>
    </row>
    <row r="283" spans="4:4">
      <c r="D283" s="607"/>
    </row>
    <row r="284" spans="4:4">
      <c r="D284" s="607"/>
    </row>
    <row r="285" spans="4:4">
      <c r="D285" s="607"/>
    </row>
    <row r="286" spans="4:4">
      <c r="D286" s="607"/>
    </row>
    <row r="287" spans="4:4">
      <c r="D287" s="607"/>
    </row>
    <row r="288" spans="4:4">
      <c r="D288" s="607"/>
    </row>
    <row r="289" spans="4:4">
      <c r="D289" s="607"/>
    </row>
    <row r="290" spans="4:4">
      <c r="D290" s="607"/>
    </row>
    <row r="291" spans="4:4">
      <c r="D291" s="607"/>
    </row>
    <row r="292" spans="4:4">
      <c r="D292" s="607"/>
    </row>
    <row r="293" spans="4:4">
      <c r="D293" s="607"/>
    </row>
    <row r="294" spans="4:4">
      <c r="D294" s="607"/>
    </row>
    <row r="295" spans="4:4">
      <c r="D295" s="607"/>
    </row>
    <row r="296" spans="4:4">
      <c r="D296" s="607"/>
    </row>
    <row r="297" spans="4:4">
      <c r="D297" s="607"/>
    </row>
    <row r="298" spans="4:4">
      <c r="D298" s="607"/>
    </row>
    <row r="299" spans="4:4">
      <c r="D299" s="607"/>
    </row>
    <row r="300" spans="4:4">
      <c r="D300" s="607"/>
    </row>
    <row r="301" spans="4:4">
      <c r="D301" s="607"/>
    </row>
    <row r="302" spans="4:4">
      <c r="D302" s="607"/>
    </row>
    <row r="303" spans="4:4">
      <c r="D303" s="607"/>
    </row>
    <row r="304" spans="4:4">
      <c r="D304" s="607"/>
    </row>
    <row r="305" spans="4:4">
      <c r="D305" s="607"/>
    </row>
    <row r="306" spans="4:4">
      <c r="D306" s="607"/>
    </row>
    <row r="307" spans="4:4">
      <c r="D307" s="607"/>
    </row>
    <row r="308" spans="4:4">
      <c r="D308" s="607"/>
    </row>
    <row r="309" spans="4:4">
      <c r="D309" s="607"/>
    </row>
    <row r="310" spans="4:4">
      <c r="D310" s="607"/>
    </row>
    <row r="311" spans="4:4">
      <c r="D311" s="607"/>
    </row>
    <row r="312" spans="4:4">
      <c r="D312" s="607"/>
    </row>
    <row r="313" spans="4:4">
      <c r="D313" s="607"/>
    </row>
    <row r="314" spans="4:4">
      <c r="D314" s="607"/>
    </row>
    <row r="315" spans="4:4">
      <c r="D315" s="607"/>
    </row>
    <row r="316" spans="4:4">
      <c r="D316" s="607"/>
    </row>
    <row r="317" spans="4:4">
      <c r="D317" s="607"/>
    </row>
    <row r="318" spans="4:4">
      <c r="D318" s="607"/>
    </row>
    <row r="319" spans="4:4">
      <c r="D319" s="607"/>
    </row>
    <row r="320" spans="4:4">
      <c r="D320" s="607"/>
    </row>
    <row r="321" spans="4:4">
      <c r="D321" s="607"/>
    </row>
    <row r="322" spans="4:4">
      <c r="D322" s="607"/>
    </row>
    <row r="323" spans="4:4">
      <c r="D323" s="607"/>
    </row>
    <row r="324" spans="4:4">
      <c r="D324" s="607"/>
    </row>
    <row r="325" spans="4:4">
      <c r="D325" s="607"/>
    </row>
    <row r="326" spans="4:4">
      <c r="D326" s="607"/>
    </row>
    <row r="327" spans="4:4">
      <c r="D327" s="607"/>
    </row>
    <row r="328" spans="4:4">
      <c r="D328" s="607"/>
    </row>
    <row r="329" spans="4:4">
      <c r="D329" s="607"/>
    </row>
    <row r="330" spans="4:4">
      <c r="D330" s="607"/>
    </row>
    <row r="331" spans="4:4">
      <c r="D331" s="607"/>
    </row>
    <row r="332" spans="4:4">
      <c r="D332" s="607"/>
    </row>
    <row r="333" spans="4:4">
      <c r="D333" s="607"/>
    </row>
    <row r="334" spans="4:4">
      <c r="D334" s="607"/>
    </row>
    <row r="335" spans="4:4">
      <c r="D335" s="607"/>
    </row>
    <row r="336" spans="4:4">
      <c r="D336" s="607"/>
    </row>
    <row r="337" spans="4:4">
      <c r="D337" s="607"/>
    </row>
    <row r="338" spans="4:4">
      <c r="D338" s="607"/>
    </row>
    <row r="339" spans="4:4">
      <c r="D339" s="607"/>
    </row>
    <row r="340" spans="4:4">
      <c r="D340" s="607"/>
    </row>
    <row r="341" spans="4:4">
      <c r="D341" s="607"/>
    </row>
    <row r="342" spans="4:4">
      <c r="D342" s="607"/>
    </row>
    <row r="343" spans="4:4">
      <c r="D343" s="607"/>
    </row>
    <row r="344" spans="4:4">
      <c r="D344" s="607"/>
    </row>
    <row r="345" spans="4:4">
      <c r="D345" s="607"/>
    </row>
    <row r="346" spans="4:4">
      <c r="D346" s="607"/>
    </row>
    <row r="347" spans="4:4">
      <c r="D347" s="607"/>
    </row>
    <row r="348" spans="4:4">
      <c r="D348" s="607"/>
    </row>
    <row r="349" spans="4:4">
      <c r="D349" s="607"/>
    </row>
    <row r="350" spans="4:4">
      <c r="D350" s="607"/>
    </row>
    <row r="351" spans="4:4">
      <c r="D351" s="607"/>
    </row>
    <row r="352" spans="4:4">
      <c r="D352" s="607"/>
    </row>
    <row r="353" spans="4:4">
      <c r="D353" s="607"/>
    </row>
    <row r="354" spans="4:4">
      <c r="D354" s="607"/>
    </row>
    <row r="355" spans="4:4">
      <c r="D355" s="607"/>
    </row>
    <row r="356" spans="4:4">
      <c r="D356" s="607"/>
    </row>
    <row r="357" spans="4:4">
      <c r="D357" s="607"/>
    </row>
    <row r="358" spans="4:4">
      <c r="D358" s="607"/>
    </row>
    <row r="359" spans="4:4">
      <c r="D359" s="607"/>
    </row>
    <row r="360" spans="4:4">
      <c r="D360" s="607"/>
    </row>
    <row r="361" spans="4:4">
      <c r="D361" s="607"/>
    </row>
    <row r="362" spans="4:4">
      <c r="D362" s="607"/>
    </row>
    <row r="363" spans="4:4">
      <c r="D363" s="607"/>
    </row>
    <row r="364" spans="4:4">
      <c r="D364" s="607"/>
    </row>
    <row r="365" spans="4:4">
      <c r="D365" s="607"/>
    </row>
    <row r="366" spans="4:4">
      <c r="D366" s="607"/>
    </row>
    <row r="367" spans="4:4">
      <c r="D367" s="607"/>
    </row>
    <row r="368" spans="4:4">
      <c r="D368" s="607"/>
    </row>
    <row r="369" spans="4:4">
      <c r="D369" s="607"/>
    </row>
    <row r="370" spans="4:4">
      <c r="D370" s="607"/>
    </row>
    <row r="371" spans="4:4">
      <c r="D371" s="607"/>
    </row>
    <row r="372" spans="4:4">
      <c r="D372" s="607"/>
    </row>
  </sheetData>
  <sheetProtection password="E9D4" sheet="1"/>
  <customSheetViews>
    <customSheetView guid="{871F8275-217B-436F-8813-871F820F0EE4}" scale="85" showPageBreaks="1" showGridLines="0" view="pageBreakPreview" topLeftCell="A3">
      <selection activeCell="D32" sqref="D32"/>
      <pageMargins left="0.31496062992125984" right="0.31496062992125984" top="0.39370078740157483" bottom="0.39370078740157483" header="0.19685039370078741" footer="0.19685039370078741"/>
      <pageSetup paperSize="9" scale="80" orientation="portrait" r:id="rId1"/>
      <headerFooter alignWithMargins="0">
        <oddFooter>&amp;L&amp;7&amp;D&amp;C&amp;7&amp;P&amp;R&amp;7&amp;F</oddFooter>
      </headerFooter>
    </customSheetView>
    <customSheetView guid="{2EBF18CB-80C9-43ED-A978-2AAEAC40933E}" scale="75" showGridLines="0" showRuler="0" topLeftCell="A4">
      <selection activeCell="C18" sqref="C18"/>
      <pageMargins left="0.31496062992125984" right="0.31496062992125984" top="0.39370078740157483" bottom="0.39370078740157483" header="0.19685039370078741" footer="0.19685039370078741"/>
      <pageSetup paperSize="9" scale="80" orientation="portrait" horizontalDpi="300" verticalDpi="300" r:id="rId2"/>
      <headerFooter alignWithMargins="0">
        <oddFooter>&amp;L&amp;7&amp;D&amp;C&amp;7&amp;P&amp;R&amp;7&amp;F</oddFooter>
      </headerFooter>
    </customSheetView>
    <customSheetView guid="{47D3AB49-9599-4A16-951B-F48FEC1C0136}" scale="75" showGridLines="0">
      <selection activeCell="C28" sqref="C28"/>
      <pageMargins left="0.31496062992125984" right="0.31496062992125984" top="0.39370078740157483" bottom="0.39370078740157483" header="0.19685039370078741" footer="0.19685039370078741"/>
      <pageSetup paperSize="9" scale="80" orientation="portrait" horizontalDpi="300" verticalDpi="300" r:id="rId3"/>
      <headerFooter alignWithMargins="0">
        <oddFooter>&amp;L&amp;7&amp;D&amp;C&amp;7&amp;P&amp;R&amp;7&amp;F</oddFooter>
      </headerFooter>
    </customSheetView>
    <customSheetView guid="{ECE607A2-8A26-46E0-8BDC-E9AD788F604C}" scale="85" showPageBreaks="1" showGridLines="0" view="pageBreakPreview">
      <selection activeCell="C8" sqref="C8"/>
      <pageMargins left="0.31496062992125984" right="0.31496062992125984" top="0.39370078740157483" bottom="0.39370078740157483" header="0.19685039370078741" footer="0.19685039370078741"/>
      <pageSetup paperSize="9" scale="80" orientation="portrait" r:id="rId4"/>
      <headerFooter alignWithMargins="0">
        <oddFooter>&amp;L&amp;7&amp;D&amp;C&amp;7&amp;P&amp;R&amp;7&amp;F</oddFooter>
      </headerFooter>
    </customSheetView>
    <customSheetView guid="{FB1E0752-409C-4E7D-BCFE-7AEBEB8B5F0D}" scale="85" showPageBreaks="1" showGridLines="0" view="pageBreakPreview" topLeftCell="A3">
      <selection activeCell="D17" sqref="D17"/>
      <pageMargins left="0.31496062992125984" right="0.31496062992125984" top="0.39370078740157483" bottom="0.39370078740157483" header="0.19685039370078741" footer="0.19685039370078741"/>
      <pageSetup paperSize="9" scale="80" orientation="portrait" r:id="rId5"/>
      <headerFooter alignWithMargins="0">
        <oddFooter>&amp;L&amp;7&amp;D&amp;C&amp;7&amp;P&amp;R&amp;7&amp;F</oddFooter>
      </headerFooter>
    </customSheetView>
  </customSheetViews>
  <mergeCells count="1">
    <mergeCell ref="C1:D1"/>
  </mergeCells>
  <phoneticPr fontId="0" type="noConversion"/>
  <pageMargins left="0.31496062992125984" right="0.31496062992125984" top="0.39370078740157483" bottom="0.39370078740157483" header="0.19685039370078741" footer="0.19685039370078741"/>
  <pageSetup paperSize="9" scale="80" orientation="portrait" r:id="rId6"/>
  <headerFooter alignWithMargins="0">
    <oddFooter>&amp;L&amp;7&amp;D&amp;C&amp;7&amp;P&amp;R&amp;7&amp;F</oddFooter>
  </headerFooter>
</worksheet>
</file>

<file path=xl/worksheets/sheet38.xml><?xml version="1.0" encoding="utf-8"?>
<worksheet xmlns="http://schemas.openxmlformats.org/spreadsheetml/2006/main" xmlns:r="http://schemas.openxmlformats.org/officeDocument/2006/relationships">
  <sheetPr codeName="Лист38"/>
  <dimension ref="B1:F176"/>
  <sheetViews>
    <sheetView topLeftCell="A167" workbookViewId="0">
      <selection activeCell="C123" sqref="C123"/>
    </sheetView>
  </sheetViews>
  <sheetFormatPr defaultRowHeight="15"/>
  <cols>
    <col min="1" max="1" width="1.7109375" style="850" customWidth="1"/>
    <col min="2" max="2" width="11.28515625" style="869" customWidth="1"/>
    <col min="3" max="3" width="76" style="850" customWidth="1"/>
    <col min="4" max="4" width="24.42578125" style="850" customWidth="1"/>
    <col min="5" max="11" width="9.140625" style="850"/>
    <col min="12" max="12" width="9.28515625" style="850" bestFit="1" customWidth="1"/>
    <col min="13" max="17" width="9.140625" style="850"/>
    <col min="18" max="18" width="9.28515625" style="850" bestFit="1" customWidth="1"/>
    <col min="19" max="16384" width="9.140625" style="850"/>
  </cols>
  <sheetData>
    <row r="1" spans="2:4" ht="30.75" customHeight="1">
      <c r="B1" s="851"/>
      <c r="C1" s="1252" t="s">
        <v>1874</v>
      </c>
      <c r="D1" s="1252"/>
    </row>
    <row r="2" spans="2:4" ht="18">
      <c r="B2" s="851"/>
      <c r="C2" s="852" t="str">
        <f>T!E18</f>
        <v>Номгӯи ташкилоти қарзӣ</v>
      </c>
      <c r="D2" s="853"/>
    </row>
    <row r="3" spans="2:4" ht="18">
      <c r="B3" s="851"/>
      <c r="C3" s="854" t="str">
        <f>T!B10</f>
        <v>Ҳисобот дар санаи</v>
      </c>
      <c r="D3" s="855"/>
    </row>
    <row r="4" spans="2:4" ht="18">
      <c r="B4" s="856"/>
      <c r="C4" s="857" t="str">
        <f>'List of Scedules'!B37</f>
        <v>ҶАДВАЛИ 17.01. МАЪЛУМОТИ ИЛОВАГӢ</v>
      </c>
      <c r="D4" s="857"/>
    </row>
    <row r="5" spans="2:4" ht="18">
      <c r="B5" s="851"/>
      <c r="C5" s="858"/>
      <c r="D5" s="859"/>
    </row>
    <row r="6" spans="2:4" s="860" customFormat="1" ht="18">
      <c r="B6" s="844"/>
      <c r="C6" s="861" t="s">
        <v>1510</v>
      </c>
      <c r="D6" s="861"/>
    </row>
    <row r="7" spans="2:4" ht="36">
      <c r="B7" s="844" t="s">
        <v>47</v>
      </c>
      <c r="C7" s="870" t="s">
        <v>1157</v>
      </c>
      <c r="D7" s="897" t="s">
        <v>2083</v>
      </c>
    </row>
    <row r="8" spans="2:4" ht="18">
      <c r="B8" s="844" t="s">
        <v>48</v>
      </c>
      <c r="C8" s="870" t="s">
        <v>1439</v>
      </c>
      <c r="D8" s="897" t="s">
        <v>2083</v>
      </c>
    </row>
    <row r="9" spans="2:4" ht="18">
      <c r="B9" s="844" t="s">
        <v>49</v>
      </c>
      <c r="C9" s="871" t="s">
        <v>1440</v>
      </c>
      <c r="D9" s="897" t="s">
        <v>2083</v>
      </c>
    </row>
    <row r="10" spans="2:4" ht="11.1" customHeight="1">
      <c r="B10" s="1249"/>
      <c r="C10" s="1249"/>
      <c r="D10" s="1249"/>
    </row>
    <row r="11" spans="2:4" ht="18">
      <c r="B11" s="862"/>
      <c r="C11" s="861" t="s">
        <v>1936</v>
      </c>
      <c r="D11" s="861"/>
    </row>
    <row r="12" spans="2:4" ht="18">
      <c r="B12" s="844" t="s">
        <v>50</v>
      </c>
      <c r="C12" s="863" t="s">
        <v>1950</v>
      </c>
      <c r="D12" s="1107">
        <v>0</v>
      </c>
    </row>
    <row r="13" spans="2:4" ht="18">
      <c r="B13" s="844" t="s">
        <v>1964</v>
      </c>
      <c r="C13" s="863" t="s">
        <v>1948</v>
      </c>
      <c r="D13" s="1107">
        <v>0</v>
      </c>
    </row>
    <row r="14" spans="2:4" ht="36">
      <c r="B14" s="844" t="s">
        <v>1965</v>
      </c>
      <c r="C14" s="864" t="s">
        <v>1949</v>
      </c>
      <c r="D14" s="1107">
        <v>0</v>
      </c>
    </row>
    <row r="15" spans="2:4" ht="36">
      <c r="B15" s="844" t="s">
        <v>51</v>
      </c>
      <c r="C15" s="864" t="s">
        <v>1441</v>
      </c>
      <c r="D15" s="1107">
        <v>0</v>
      </c>
    </row>
    <row r="16" spans="2:4" ht="18">
      <c r="B16" s="898" t="s">
        <v>2035</v>
      </c>
      <c r="C16" s="550" t="s">
        <v>1929</v>
      </c>
      <c r="D16" s="1107">
        <v>0</v>
      </c>
    </row>
    <row r="17" spans="2:4" ht="18">
      <c r="B17" s="844" t="s">
        <v>52</v>
      </c>
      <c r="C17" s="616" t="s">
        <v>1955</v>
      </c>
      <c r="D17" s="1107">
        <v>0</v>
      </c>
    </row>
    <row r="18" spans="2:4" ht="18">
      <c r="B18" s="844" t="s">
        <v>1442</v>
      </c>
      <c r="C18" s="616" t="s">
        <v>303</v>
      </c>
      <c r="D18" s="1107">
        <v>0</v>
      </c>
    </row>
    <row r="19" spans="2:4" ht="18">
      <c r="B19" s="844" t="s">
        <v>1443</v>
      </c>
      <c r="C19" s="616" t="s">
        <v>302</v>
      </c>
      <c r="D19" s="1107">
        <v>0</v>
      </c>
    </row>
    <row r="20" spans="2:4" ht="18">
      <c r="B20" s="844" t="s">
        <v>1967</v>
      </c>
      <c r="C20" s="616" t="s">
        <v>1942</v>
      </c>
      <c r="D20" s="1107">
        <v>0</v>
      </c>
    </row>
    <row r="21" spans="2:4" ht="18">
      <c r="B21" s="844" t="s">
        <v>1931</v>
      </c>
      <c r="C21" s="616" t="s">
        <v>1941</v>
      </c>
      <c r="D21" s="1107">
        <v>0</v>
      </c>
    </row>
    <row r="22" spans="2:4" ht="18">
      <c r="B22" s="844" t="s">
        <v>304</v>
      </c>
      <c r="C22" s="846" t="s">
        <v>93</v>
      </c>
      <c r="D22" s="1107">
        <v>0</v>
      </c>
    </row>
    <row r="23" spans="2:4" ht="18">
      <c r="B23" s="844" t="s">
        <v>1968</v>
      </c>
      <c r="C23" s="550" t="s">
        <v>1930</v>
      </c>
      <c r="D23" s="1107">
        <v>0</v>
      </c>
    </row>
    <row r="24" spans="2:4" ht="18">
      <c r="B24" s="844" t="s">
        <v>2037</v>
      </c>
      <c r="C24" s="550" t="s">
        <v>2053</v>
      </c>
      <c r="D24" s="1107">
        <v>0</v>
      </c>
    </row>
    <row r="25" spans="2:4" ht="18">
      <c r="B25" s="844" t="s">
        <v>1966</v>
      </c>
      <c r="C25" s="550" t="s">
        <v>2036</v>
      </c>
      <c r="D25" s="1107">
        <v>0</v>
      </c>
    </row>
    <row r="26" spans="2:4" ht="18">
      <c r="B26" s="844" t="s">
        <v>1937</v>
      </c>
      <c r="C26" s="550" t="s">
        <v>1934</v>
      </c>
      <c r="D26" s="1107">
        <v>0</v>
      </c>
    </row>
    <row r="27" spans="2:4" ht="11.1" customHeight="1">
      <c r="B27" s="1249"/>
      <c r="C27" s="1249"/>
      <c r="D27" s="1249"/>
    </row>
    <row r="28" spans="2:4" ht="18">
      <c r="B28" s="865"/>
      <c r="C28" s="866" t="s">
        <v>1925</v>
      </c>
      <c r="D28" s="861"/>
    </row>
    <row r="29" spans="2:4" ht="18">
      <c r="B29" s="844" t="s">
        <v>1891</v>
      </c>
      <c r="C29" s="867" t="s">
        <v>1885</v>
      </c>
      <c r="D29" s="872">
        <v>0</v>
      </c>
    </row>
    <row r="30" spans="2:4" ht="19.5">
      <c r="B30" s="844" t="s">
        <v>1892</v>
      </c>
      <c r="C30" s="873" t="s">
        <v>1933</v>
      </c>
      <c r="D30" s="874">
        <v>3.0033003927088449E-6</v>
      </c>
    </row>
    <row r="31" spans="2:4" ht="19.5">
      <c r="B31" s="844" t="s">
        <v>1893</v>
      </c>
      <c r="C31" s="868" t="s">
        <v>1444</v>
      </c>
      <c r="D31" s="874">
        <v>0</v>
      </c>
    </row>
    <row r="32" spans="2:4" ht="19.5">
      <c r="B32" s="844" t="s">
        <v>1894</v>
      </c>
      <c r="C32" s="868" t="s">
        <v>1158</v>
      </c>
      <c r="D32" s="874">
        <v>0</v>
      </c>
    </row>
    <row r="33" spans="2:4" ht="11.1" customHeight="1">
      <c r="B33" s="1253"/>
      <c r="C33" s="1253"/>
      <c r="D33" s="1253"/>
    </row>
    <row r="34" spans="2:4" ht="18">
      <c r="B34" s="844" t="s">
        <v>1895</v>
      </c>
      <c r="C34" s="867" t="s">
        <v>1888</v>
      </c>
      <c r="D34" s="1108" t="s">
        <v>2616</v>
      </c>
    </row>
    <row r="35" spans="2:4" ht="19.5">
      <c r="B35" s="844" t="s">
        <v>1896</v>
      </c>
      <c r="C35" s="873" t="s">
        <v>1933</v>
      </c>
      <c r="D35" s="1109" t="s">
        <v>2616</v>
      </c>
    </row>
    <row r="36" spans="2:4" ht="19.5">
      <c r="B36" s="844" t="s">
        <v>1897</v>
      </c>
      <c r="C36" s="868" t="s">
        <v>1444</v>
      </c>
      <c r="D36" s="1109" t="s">
        <v>2616</v>
      </c>
    </row>
    <row r="37" spans="2:4" ht="19.5">
      <c r="B37" s="844" t="s">
        <v>1898</v>
      </c>
      <c r="C37" s="868" t="s">
        <v>1158</v>
      </c>
      <c r="D37" s="1109" t="s">
        <v>2616</v>
      </c>
    </row>
    <row r="38" spans="2:4" ht="11.1" customHeight="1">
      <c r="B38" s="1249"/>
      <c r="C38" s="1249"/>
      <c r="D38" s="1249"/>
    </row>
    <row r="39" spans="2:4" ht="18">
      <c r="B39" s="865"/>
      <c r="C39" s="866" t="s">
        <v>1926</v>
      </c>
      <c r="D39" s="861"/>
    </row>
    <row r="40" spans="2:4" ht="18">
      <c r="B40" s="844" t="s">
        <v>1899</v>
      </c>
      <c r="C40" s="867" t="s">
        <v>1885</v>
      </c>
      <c r="D40" s="872">
        <v>0</v>
      </c>
    </row>
    <row r="41" spans="2:4" ht="19.5">
      <c r="B41" s="844" t="s">
        <v>1900</v>
      </c>
      <c r="C41" s="873" t="s">
        <v>1933</v>
      </c>
      <c r="D41" s="874">
        <v>0</v>
      </c>
    </row>
    <row r="42" spans="2:4" ht="19.5">
      <c r="B42" s="844" t="s">
        <v>1901</v>
      </c>
      <c r="C42" s="868" t="s">
        <v>1444</v>
      </c>
      <c r="D42" s="874">
        <v>0</v>
      </c>
    </row>
    <row r="43" spans="2:4" ht="19.5">
      <c r="B43" s="844" t="s">
        <v>1902</v>
      </c>
      <c r="C43" s="868" t="s">
        <v>1158</v>
      </c>
      <c r="D43" s="874">
        <v>0</v>
      </c>
    </row>
    <row r="44" spans="2:4" ht="11.1" customHeight="1">
      <c r="B44" s="1253"/>
      <c r="C44" s="1253"/>
      <c r="D44" s="1253"/>
    </row>
    <row r="45" spans="2:4" ht="18">
      <c r="B45" s="844" t="s">
        <v>1903</v>
      </c>
      <c r="C45" s="867" t="s">
        <v>1888</v>
      </c>
      <c r="D45" s="1108" t="s">
        <v>2616</v>
      </c>
    </row>
    <row r="46" spans="2:4" ht="19.5">
      <c r="B46" s="844" t="s">
        <v>1904</v>
      </c>
      <c r="C46" s="873" t="s">
        <v>1933</v>
      </c>
      <c r="D46" s="1109" t="s">
        <v>2616</v>
      </c>
    </row>
    <row r="47" spans="2:4" ht="19.5">
      <c r="B47" s="844" t="s">
        <v>1905</v>
      </c>
      <c r="C47" s="868" t="s">
        <v>1444</v>
      </c>
      <c r="D47" s="1109" t="s">
        <v>2616</v>
      </c>
    </row>
    <row r="48" spans="2:4" ht="19.5">
      <c r="B48" s="844" t="s">
        <v>1906</v>
      </c>
      <c r="C48" s="868" t="s">
        <v>1158</v>
      </c>
      <c r="D48" s="1109" t="s">
        <v>2616</v>
      </c>
    </row>
    <row r="49" spans="2:4" ht="11.1" customHeight="1">
      <c r="B49" s="1249"/>
      <c r="C49" s="1249"/>
      <c r="D49" s="1249"/>
    </row>
    <row r="50" spans="2:4" ht="18">
      <c r="B50" s="844"/>
      <c r="C50" s="866" t="s">
        <v>1927</v>
      </c>
      <c r="D50" s="861"/>
    </row>
    <row r="51" spans="2:4" ht="18">
      <c r="B51" s="845" t="s">
        <v>1883</v>
      </c>
      <c r="C51" s="867" t="s">
        <v>1886</v>
      </c>
      <c r="D51" s="872">
        <v>0</v>
      </c>
    </row>
    <row r="52" spans="2:4" ht="19.5">
      <c r="B52" s="845" t="s">
        <v>1889</v>
      </c>
      <c r="C52" s="873" t="s">
        <v>1932</v>
      </c>
      <c r="D52" s="874">
        <v>0</v>
      </c>
    </row>
    <row r="53" spans="2:4" ht="19.5">
      <c r="B53" s="845" t="s">
        <v>1890</v>
      </c>
      <c r="C53" s="868" t="s">
        <v>1445</v>
      </c>
      <c r="D53" s="874">
        <v>0</v>
      </c>
    </row>
    <row r="54" spans="2:4" ht="19.5">
      <c r="B54" s="845" t="s">
        <v>1912</v>
      </c>
      <c r="C54" s="868" t="s">
        <v>1446</v>
      </c>
      <c r="D54" s="874">
        <v>0</v>
      </c>
    </row>
    <row r="55" spans="2:4" ht="11.1" customHeight="1">
      <c r="B55" s="1253"/>
      <c r="C55" s="1253"/>
      <c r="D55" s="1253"/>
    </row>
    <row r="56" spans="2:4" ht="18">
      <c r="B56" s="845" t="s">
        <v>1913</v>
      </c>
      <c r="C56" s="867" t="s">
        <v>1911</v>
      </c>
      <c r="D56" s="1108" t="s">
        <v>2616</v>
      </c>
    </row>
    <row r="57" spans="2:4" ht="19.5">
      <c r="B57" s="845" t="s">
        <v>1914</v>
      </c>
      <c r="C57" s="873" t="s">
        <v>1932</v>
      </c>
      <c r="D57" s="1109" t="s">
        <v>2616</v>
      </c>
    </row>
    <row r="58" spans="2:4" ht="19.5">
      <c r="B58" s="845" t="s">
        <v>1915</v>
      </c>
      <c r="C58" s="868" t="s">
        <v>1445</v>
      </c>
      <c r="D58" s="1109" t="s">
        <v>2616</v>
      </c>
    </row>
    <row r="59" spans="2:4" ht="19.5">
      <c r="B59" s="845" t="s">
        <v>1916</v>
      </c>
      <c r="C59" s="868" t="s">
        <v>1446</v>
      </c>
      <c r="D59" s="1109" t="s">
        <v>2616</v>
      </c>
    </row>
    <row r="60" spans="2:4" ht="11.1" customHeight="1">
      <c r="B60" s="1250"/>
      <c r="C60" s="1250"/>
      <c r="D60" s="1250"/>
    </row>
    <row r="61" spans="2:4" ht="18">
      <c r="B61" s="844"/>
      <c r="C61" s="866" t="s">
        <v>1928</v>
      </c>
      <c r="D61" s="861"/>
    </row>
    <row r="62" spans="2:4" ht="18">
      <c r="B62" s="844" t="s">
        <v>1917</v>
      </c>
      <c r="C62" s="867" t="s">
        <v>1886</v>
      </c>
      <c r="D62" s="872">
        <v>0</v>
      </c>
    </row>
    <row r="63" spans="2:4" ht="19.5">
      <c r="B63" s="844" t="s">
        <v>1918</v>
      </c>
      <c r="C63" s="873" t="s">
        <v>1932</v>
      </c>
      <c r="D63" s="874">
        <v>0</v>
      </c>
    </row>
    <row r="64" spans="2:4" ht="19.5">
      <c r="B64" s="844" t="s">
        <v>1919</v>
      </c>
      <c r="C64" s="868" t="s">
        <v>1445</v>
      </c>
      <c r="D64" s="874">
        <v>0</v>
      </c>
    </row>
    <row r="65" spans="2:4" ht="19.5">
      <c r="B65" s="844" t="s">
        <v>1920</v>
      </c>
      <c r="C65" s="868" t="s">
        <v>1446</v>
      </c>
      <c r="D65" s="874">
        <v>0</v>
      </c>
    </row>
    <row r="66" spans="2:4" ht="11.1" customHeight="1">
      <c r="B66" s="1253"/>
      <c r="C66" s="1253"/>
      <c r="D66" s="1253"/>
    </row>
    <row r="67" spans="2:4" ht="18">
      <c r="B67" s="844" t="s">
        <v>1921</v>
      </c>
      <c r="C67" s="867" t="s">
        <v>1887</v>
      </c>
      <c r="D67" s="872" t="s">
        <v>2616</v>
      </c>
    </row>
    <row r="68" spans="2:4" ht="19.5">
      <c r="B68" s="844" t="s">
        <v>1922</v>
      </c>
      <c r="C68" s="873" t="s">
        <v>1932</v>
      </c>
      <c r="D68" s="874" t="s">
        <v>2616</v>
      </c>
    </row>
    <row r="69" spans="2:4" ht="19.5">
      <c r="B69" s="844" t="s">
        <v>1923</v>
      </c>
      <c r="C69" s="868" t="s">
        <v>1445</v>
      </c>
      <c r="D69" s="874" t="s">
        <v>2616</v>
      </c>
    </row>
    <row r="70" spans="2:4" ht="19.5">
      <c r="B70" s="844" t="s">
        <v>1924</v>
      </c>
      <c r="C70" s="868" t="s">
        <v>1446</v>
      </c>
      <c r="D70" s="874" t="s">
        <v>2616</v>
      </c>
    </row>
    <row r="71" spans="2:4" ht="11.1" customHeight="1">
      <c r="B71" s="1254"/>
      <c r="C71" s="1254"/>
      <c r="D71" s="1254"/>
    </row>
    <row r="72" spans="2:4" ht="18">
      <c r="B72" s="875"/>
      <c r="C72" s="849" t="s">
        <v>1907</v>
      </c>
      <c r="D72" s="876"/>
    </row>
    <row r="73" spans="2:4" ht="18">
      <c r="B73" s="877" t="s">
        <v>300</v>
      </c>
      <c r="C73" s="135" t="s">
        <v>1562</v>
      </c>
      <c r="D73" s="878">
        <v>0</v>
      </c>
    </row>
    <row r="74" spans="2:4" ht="18">
      <c r="B74" s="845" t="s">
        <v>301</v>
      </c>
      <c r="C74" s="135" t="s">
        <v>1565</v>
      </c>
      <c r="D74" s="878">
        <v>0</v>
      </c>
    </row>
    <row r="75" spans="2:4" ht="11.1" customHeight="1">
      <c r="B75" s="1251"/>
      <c r="C75" s="1251"/>
      <c r="D75" s="1251"/>
    </row>
    <row r="76" spans="2:4" ht="18">
      <c r="B76" s="845"/>
      <c r="C76" s="849" t="s">
        <v>1884</v>
      </c>
      <c r="D76" s="847"/>
    </row>
    <row r="77" spans="2:4" ht="18">
      <c r="B77" s="845" t="s">
        <v>305</v>
      </c>
      <c r="C77" s="135" t="s">
        <v>1569</v>
      </c>
      <c r="D77" s="878">
        <v>0</v>
      </c>
    </row>
    <row r="78" spans="2:4" ht="18">
      <c r="B78" s="845" t="s">
        <v>306</v>
      </c>
      <c r="C78" s="135" t="s">
        <v>1572</v>
      </c>
      <c r="D78" s="878">
        <v>0</v>
      </c>
    </row>
    <row r="79" spans="2:4" ht="9.75" customHeight="1">
      <c r="B79" s="1251"/>
      <c r="C79" s="1251"/>
      <c r="D79" s="1251"/>
    </row>
    <row r="80" spans="2:4" ht="18">
      <c r="B80" s="862"/>
      <c r="C80" s="849" t="s">
        <v>1953</v>
      </c>
      <c r="D80" s="848"/>
    </row>
    <row r="81" spans="2:4" ht="18">
      <c r="B81" s="845" t="s">
        <v>1969</v>
      </c>
      <c r="C81" s="135" t="s">
        <v>1908</v>
      </c>
      <c r="D81" s="878">
        <v>0</v>
      </c>
    </row>
    <row r="82" spans="2:4" ht="19.5">
      <c r="B82" s="845" t="s">
        <v>2054</v>
      </c>
      <c r="C82" s="899" t="s">
        <v>1269</v>
      </c>
      <c r="D82" s="878">
        <v>0</v>
      </c>
    </row>
    <row r="83" spans="2:4" ht="18">
      <c r="B83" s="845" t="s">
        <v>1970</v>
      </c>
      <c r="C83" s="900" t="s">
        <v>2055</v>
      </c>
      <c r="D83" s="878">
        <v>0</v>
      </c>
    </row>
    <row r="84" spans="2:4" ht="19.5">
      <c r="B84" s="845" t="s">
        <v>2056</v>
      </c>
      <c r="C84" s="901" t="s">
        <v>1269</v>
      </c>
      <c r="D84" s="878">
        <v>0</v>
      </c>
    </row>
    <row r="85" spans="2:4" ht="18">
      <c r="B85" s="845" t="s">
        <v>1971</v>
      </c>
      <c r="C85" s="135" t="s">
        <v>1951</v>
      </c>
      <c r="D85" s="878">
        <v>0</v>
      </c>
    </row>
    <row r="86" spans="2:4" ht="19.5">
      <c r="B86" s="845" t="s">
        <v>2057</v>
      </c>
      <c r="C86" s="899" t="s">
        <v>1269</v>
      </c>
      <c r="D86" s="878">
        <v>0</v>
      </c>
    </row>
    <row r="87" spans="2:4" ht="18">
      <c r="B87" s="845" t="s">
        <v>1972</v>
      </c>
      <c r="C87" s="900" t="s">
        <v>2058</v>
      </c>
      <c r="D87" s="878">
        <v>0</v>
      </c>
    </row>
    <row r="88" spans="2:4" ht="19.5">
      <c r="B88" s="845" t="s">
        <v>2059</v>
      </c>
      <c r="C88" s="901" t="s">
        <v>1269</v>
      </c>
      <c r="D88" s="878">
        <v>0</v>
      </c>
    </row>
    <row r="89" spans="2:4" ht="10.5" customHeight="1">
      <c r="B89" s="882"/>
      <c r="C89" s="902"/>
      <c r="D89" s="883"/>
    </row>
    <row r="90" spans="2:4" ht="18">
      <c r="B90" s="862"/>
      <c r="C90" s="849" t="s">
        <v>1952</v>
      </c>
      <c r="D90" s="848"/>
    </row>
    <row r="91" spans="2:4" ht="18">
      <c r="B91" s="845" t="s">
        <v>1973</v>
      </c>
      <c r="C91" s="135" t="s">
        <v>2060</v>
      </c>
      <c r="D91" s="878">
        <v>0</v>
      </c>
    </row>
    <row r="92" spans="2:4" ht="19.5">
      <c r="B92" s="845" t="s">
        <v>2061</v>
      </c>
      <c r="C92" s="899" t="s">
        <v>1269</v>
      </c>
      <c r="D92" s="878">
        <v>0</v>
      </c>
    </row>
    <row r="93" spans="2:4" ht="18">
      <c r="B93" s="845" t="s">
        <v>2062</v>
      </c>
      <c r="C93" s="135" t="s">
        <v>2063</v>
      </c>
      <c r="D93" s="878">
        <v>0</v>
      </c>
    </row>
    <row r="94" spans="2:4" ht="19.5">
      <c r="B94" s="845" t="s">
        <v>2064</v>
      </c>
      <c r="C94" s="899" t="s">
        <v>1269</v>
      </c>
      <c r="D94" s="878">
        <v>0</v>
      </c>
    </row>
    <row r="95" spans="2:4" ht="18">
      <c r="B95" s="845" t="s">
        <v>2065</v>
      </c>
      <c r="C95" s="135" t="s">
        <v>2066</v>
      </c>
      <c r="D95" s="878">
        <v>0</v>
      </c>
    </row>
    <row r="96" spans="2:4" ht="19.5">
      <c r="B96" s="845" t="s">
        <v>2067</v>
      </c>
      <c r="C96" s="899" t="s">
        <v>1269</v>
      </c>
      <c r="D96" s="878">
        <v>0</v>
      </c>
    </row>
    <row r="97" spans="2:6" ht="18">
      <c r="B97" s="845" t="s">
        <v>2068</v>
      </c>
      <c r="C97" s="135" t="s">
        <v>2069</v>
      </c>
      <c r="D97" s="878">
        <v>0</v>
      </c>
    </row>
    <row r="98" spans="2:6" ht="19.5">
      <c r="B98" s="845" t="s">
        <v>1974</v>
      </c>
      <c r="C98" s="899" t="s">
        <v>1269</v>
      </c>
      <c r="D98" s="878">
        <v>0</v>
      </c>
    </row>
    <row r="99" spans="2:6" ht="18">
      <c r="B99" s="845" t="s">
        <v>2070</v>
      </c>
      <c r="C99" s="135" t="s">
        <v>2071</v>
      </c>
      <c r="D99" s="878">
        <v>0</v>
      </c>
    </row>
    <row r="100" spans="2:6" ht="19.5">
      <c r="B100" s="845" t="s">
        <v>2072</v>
      </c>
      <c r="C100" s="899" t="s">
        <v>1269</v>
      </c>
      <c r="D100" s="878">
        <v>0</v>
      </c>
    </row>
    <row r="101" spans="2:6" ht="18">
      <c r="B101" s="845" t="s">
        <v>2302</v>
      </c>
      <c r="C101" s="135" t="s">
        <v>2073</v>
      </c>
      <c r="D101" s="878">
        <v>0</v>
      </c>
    </row>
    <row r="102" spans="2:6" ht="19.5">
      <c r="B102" s="845" t="s">
        <v>1975</v>
      </c>
      <c r="C102" s="899" t="s">
        <v>1269</v>
      </c>
      <c r="D102" s="878">
        <v>0</v>
      </c>
    </row>
    <row r="103" spans="2:6" ht="9.75" customHeight="1">
      <c r="B103" s="882"/>
      <c r="C103" s="902"/>
      <c r="D103" s="883"/>
    </row>
    <row r="104" spans="2:6" ht="18">
      <c r="B104" s="862"/>
      <c r="C104" s="884" t="s">
        <v>1960</v>
      </c>
      <c r="D104" s="848"/>
    </row>
    <row r="105" spans="2:6" ht="18">
      <c r="B105" s="845" t="s">
        <v>1976</v>
      </c>
      <c r="C105" s="82" t="s">
        <v>1954</v>
      </c>
      <c r="D105" s="922">
        <v>493444838</v>
      </c>
    </row>
    <row r="106" spans="2:6" ht="19.5">
      <c r="B106" s="845" t="s">
        <v>1977</v>
      </c>
      <c r="C106" s="903" t="s">
        <v>1987</v>
      </c>
      <c r="D106" s="878">
        <v>0</v>
      </c>
    </row>
    <row r="107" spans="2:6" ht="18">
      <c r="B107" s="845" t="s">
        <v>1978</v>
      </c>
      <c r="C107" s="904" t="s">
        <v>1683</v>
      </c>
      <c r="D107" s="878">
        <v>0</v>
      </c>
    </row>
    <row r="108" spans="2:6" ht="19.5">
      <c r="B108" s="845" t="s">
        <v>1979</v>
      </c>
      <c r="C108" s="905" t="s">
        <v>1987</v>
      </c>
      <c r="D108" s="878">
        <v>0</v>
      </c>
    </row>
    <row r="109" spans="2:6" ht="18">
      <c r="B109" s="845" t="s">
        <v>1980</v>
      </c>
      <c r="C109" s="906" t="s">
        <v>1684</v>
      </c>
      <c r="D109" s="878">
        <v>0</v>
      </c>
      <c r="F109" s="907"/>
    </row>
    <row r="110" spans="2:6" ht="19.5">
      <c r="B110" s="845" t="s">
        <v>1981</v>
      </c>
      <c r="C110" s="905" t="s">
        <v>1987</v>
      </c>
      <c r="D110" s="878">
        <v>0</v>
      </c>
      <c r="F110" s="907"/>
    </row>
    <row r="111" spans="2:6" ht="18">
      <c r="B111" s="845" t="s">
        <v>1982</v>
      </c>
      <c r="C111" s="906" t="s">
        <v>1909</v>
      </c>
      <c r="D111" s="878">
        <v>0</v>
      </c>
    </row>
    <row r="112" spans="2:6" ht="19.5">
      <c r="B112" s="845" t="s">
        <v>1983</v>
      </c>
      <c r="C112" s="905" t="s">
        <v>1987</v>
      </c>
      <c r="D112" s="878">
        <v>0</v>
      </c>
    </row>
    <row r="113" spans="2:4" ht="18">
      <c r="B113" s="845" t="s">
        <v>1984</v>
      </c>
      <c r="C113" s="906" t="s">
        <v>1749</v>
      </c>
      <c r="D113" s="878">
        <v>0</v>
      </c>
    </row>
    <row r="114" spans="2:4" ht="19.5">
      <c r="B114" s="845" t="s">
        <v>1985</v>
      </c>
      <c r="C114" s="905" t="s">
        <v>1987</v>
      </c>
      <c r="D114" s="878">
        <v>0</v>
      </c>
    </row>
    <row r="115" spans="2:4" ht="18">
      <c r="B115" s="845" t="s">
        <v>1986</v>
      </c>
      <c r="C115" s="906" t="s">
        <v>1750</v>
      </c>
      <c r="D115" s="878">
        <v>0</v>
      </c>
    </row>
    <row r="116" spans="2:4" ht="19.5">
      <c r="B116" s="845" t="s">
        <v>1988</v>
      </c>
      <c r="C116" s="905" t="s">
        <v>1987</v>
      </c>
      <c r="D116" s="878">
        <v>0</v>
      </c>
    </row>
    <row r="117" spans="2:4" ht="9" customHeight="1">
      <c r="B117" s="882"/>
      <c r="C117" s="902"/>
      <c r="D117" s="883"/>
    </row>
    <row r="118" spans="2:4" ht="18">
      <c r="B118" s="845" t="s">
        <v>1989</v>
      </c>
      <c r="C118" s="550" t="s">
        <v>2074</v>
      </c>
      <c r="D118" s="878">
        <v>0</v>
      </c>
    </row>
    <row r="119" spans="2:4" ht="8.25" customHeight="1">
      <c r="B119" s="850"/>
    </row>
    <row r="120" spans="2:4" ht="18">
      <c r="B120" s="845"/>
      <c r="C120" s="972" t="s">
        <v>1323</v>
      </c>
      <c r="D120" s="847"/>
    </row>
    <row r="121" spans="2:4" ht="36">
      <c r="B121" s="845" t="s">
        <v>1990</v>
      </c>
      <c r="C121" s="1052" t="s">
        <v>2292</v>
      </c>
      <c r="D121" s="878">
        <v>0</v>
      </c>
    </row>
    <row r="122" spans="2:4" ht="36">
      <c r="B122" s="845" t="s">
        <v>1991</v>
      </c>
      <c r="C122" s="1052" t="s">
        <v>2293</v>
      </c>
      <c r="D122" s="878">
        <v>0</v>
      </c>
    </row>
    <row r="123" spans="2:4" ht="36">
      <c r="B123" s="845" t="s">
        <v>1992</v>
      </c>
      <c r="C123" s="1052" t="s">
        <v>2294</v>
      </c>
      <c r="D123" s="878">
        <v>0</v>
      </c>
    </row>
    <row r="124" spans="2:4" ht="36">
      <c r="B124" s="845" t="s">
        <v>1993</v>
      </c>
      <c r="C124" s="1052" t="s">
        <v>2295</v>
      </c>
      <c r="D124" s="878">
        <v>0</v>
      </c>
    </row>
    <row r="125" spans="2:4" ht="36">
      <c r="B125" s="845" t="s">
        <v>1994</v>
      </c>
      <c r="C125" s="1052" t="s">
        <v>2296</v>
      </c>
      <c r="D125" s="878">
        <v>0</v>
      </c>
    </row>
    <row r="126" spans="2:4" ht="36">
      <c r="B126" s="845" t="s">
        <v>1995</v>
      </c>
      <c r="C126" s="1052" t="s">
        <v>2297</v>
      </c>
      <c r="D126" s="878">
        <v>0</v>
      </c>
    </row>
    <row r="127" spans="2:4" ht="36">
      <c r="B127" s="845" t="s">
        <v>1996</v>
      </c>
      <c r="C127" s="1052" t="s">
        <v>2298</v>
      </c>
      <c r="D127" s="878">
        <v>0</v>
      </c>
    </row>
    <row r="128" spans="2:4" ht="36">
      <c r="B128" s="845" t="s">
        <v>1997</v>
      </c>
      <c r="C128" s="1052" t="s">
        <v>2299</v>
      </c>
      <c r="D128" s="878">
        <v>0</v>
      </c>
    </row>
    <row r="129" spans="2:4" ht="12" customHeight="1">
      <c r="B129" s="850"/>
      <c r="C129" s="902"/>
    </row>
    <row r="130" spans="2:4" ht="18">
      <c r="B130" s="908"/>
      <c r="C130" s="849" t="s">
        <v>1945</v>
      </c>
      <c r="D130" s="909"/>
    </row>
    <row r="131" spans="2:4" ht="18">
      <c r="B131" s="845" t="s">
        <v>1998</v>
      </c>
      <c r="C131" s="550" t="s">
        <v>2075</v>
      </c>
      <c r="D131" s="878">
        <v>0</v>
      </c>
    </row>
    <row r="132" spans="2:4" ht="19.5">
      <c r="B132" s="845" t="s">
        <v>1999</v>
      </c>
      <c r="C132" s="899" t="s">
        <v>1269</v>
      </c>
      <c r="D132" s="878">
        <v>0</v>
      </c>
    </row>
    <row r="133" spans="2:4" ht="18">
      <c r="B133" s="845" t="s">
        <v>2000</v>
      </c>
      <c r="C133" s="550" t="s">
        <v>2076</v>
      </c>
      <c r="D133" s="878">
        <v>0</v>
      </c>
    </row>
    <row r="134" spans="2:4" ht="19.5">
      <c r="B134" s="845" t="s">
        <v>2001</v>
      </c>
      <c r="C134" s="899" t="s">
        <v>1269</v>
      </c>
      <c r="D134" s="878">
        <v>0</v>
      </c>
    </row>
    <row r="135" spans="2:4" ht="18">
      <c r="B135" s="845" t="s">
        <v>2002</v>
      </c>
      <c r="C135" s="550" t="s">
        <v>2077</v>
      </c>
      <c r="D135" s="878">
        <v>0</v>
      </c>
    </row>
    <row r="136" spans="2:4" ht="19.5">
      <c r="B136" s="845" t="s">
        <v>2003</v>
      </c>
      <c r="C136" s="899" t="s">
        <v>1269</v>
      </c>
      <c r="D136" s="878">
        <v>0</v>
      </c>
    </row>
    <row r="137" spans="2:4" ht="18">
      <c r="B137" s="845" t="s">
        <v>2004</v>
      </c>
      <c r="C137" s="550" t="s">
        <v>1943</v>
      </c>
      <c r="D137" s="878">
        <v>0</v>
      </c>
    </row>
    <row r="138" spans="2:4" ht="19.5">
      <c r="B138" s="845" t="s">
        <v>2005</v>
      </c>
      <c r="C138" s="899" t="s">
        <v>1269</v>
      </c>
      <c r="D138" s="878">
        <v>0</v>
      </c>
    </row>
    <row r="139" spans="2:4" ht="11.25" customHeight="1">
      <c r="B139" s="910"/>
      <c r="C139" s="911"/>
      <c r="D139" s="911"/>
    </row>
    <row r="140" spans="2:4" ht="18">
      <c r="B140" s="908"/>
      <c r="C140" s="849" t="s">
        <v>1944</v>
      </c>
      <c r="D140" s="909"/>
    </row>
    <row r="141" spans="2:4" ht="18">
      <c r="B141" s="845" t="s">
        <v>2006</v>
      </c>
      <c r="C141" s="135" t="s">
        <v>1946</v>
      </c>
      <c r="D141" s="878">
        <v>0</v>
      </c>
    </row>
    <row r="142" spans="2:4" ht="19.5">
      <c r="B142" s="845" t="s">
        <v>2007</v>
      </c>
      <c r="C142" s="899" t="s">
        <v>1269</v>
      </c>
      <c r="D142" s="878">
        <v>0</v>
      </c>
    </row>
    <row r="143" spans="2:4" ht="18">
      <c r="B143" s="845" t="s">
        <v>2008</v>
      </c>
      <c r="C143" s="550" t="s">
        <v>2078</v>
      </c>
      <c r="D143" s="878">
        <v>0</v>
      </c>
    </row>
    <row r="144" spans="2:4" ht="19.5">
      <c r="B144" s="845" t="s">
        <v>2009</v>
      </c>
      <c r="C144" s="899" t="s">
        <v>1269</v>
      </c>
      <c r="D144" s="878">
        <v>0</v>
      </c>
    </row>
    <row r="145" spans="2:4" ht="18">
      <c r="B145" s="845" t="s">
        <v>2010</v>
      </c>
      <c r="C145" s="550" t="s">
        <v>2079</v>
      </c>
      <c r="D145" s="878">
        <v>0</v>
      </c>
    </row>
    <row r="146" spans="2:4" ht="19.5">
      <c r="B146" s="845" t="s">
        <v>2011</v>
      </c>
      <c r="C146" s="899" t="s">
        <v>1269</v>
      </c>
      <c r="D146" s="878">
        <v>0</v>
      </c>
    </row>
    <row r="147" spans="2:4" ht="18">
      <c r="B147" s="845" t="s">
        <v>2012</v>
      </c>
      <c r="C147" s="550" t="s">
        <v>2080</v>
      </c>
      <c r="D147" s="878">
        <v>0</v>
      </c>
    </row>
    <row r="148" spans="2:4" ht="19.5">
      <c r="B148" s="845" t="s">
        <v>2013</v>
      </c>
      <c r="C148" s="899" t="s">
        <v>1269</v>
      </c>
      <c r="D148" s="878">
        <v>0</v>
      </c>
    </row>
    <row r="149" spans="2:4" ht="18">
      <c r="B149" s="845" t="s">
        <v>2014</v>
      </c>
      <c r="C149" s="550" t="s">
        <v>1947</v>
      </c>
      <c r="D149" s="878">
        <v>0</v>
      </c>
    </row>
    <row r="150" spans="2:4" ht="19.5">
      <c r="B150" s="845" t="s">
        <v>2015</v>
      </c>
      <c r="C150" s="899" t="s">
        <v>1269</v>
      </c>
      <c r="D150" s="878">
        <v>0</v>
      </c>
    </row>
    <row r="151" spans="2:4" ht="11.1" customHeight="1">
      <c r="B151" s="910"/>
      <c r="C151" s="911"/>
      <c r="D151" s="911"/>
    </row>
    <row r="152" spans="2:4" ht="18">
      <c r="B152" s="862"/>
      <c r="C152" s="849" t="s">
        <v>2081</v>
      </c>
      <c r="D152" s="848"/>
    </row>
    <row r="153" spans="2:4" ht="18">
      <c r="B153" s="845" t="s">
        <v>2016</v>
      </c>
      <c r="C153" s="82" t="s">
        <v>2040</v>
      </c>
      <c r="D153" s="922">
        <v>0</v>
      </c>
    </row>
    <row r="154" spans="2:4" ht="18">
      <c r="B154" s="845" t="s">
        <v>2017</v>
      </c>
      <c r="C154" s="904" t="s">
        <v>1683</v>
      </c>
      <c r="D154" s="878">
        <v>0</v>
      </c>
    </row>
    <row r="155" spans="2:4" ht="18">
      <c r="B155" s="845" t="s">
        <v>2018</v>
      </c>
      <c r="C155" s="906" t="s">
        <v>1684</v>
      </c>
      <c r="D155" s="878">
        <v>0</v>
      </c>
    </row>
    <row r="156" spans="2:4" ht="18">
      <c r="B156" s="845" t="s">
        <v>2019</v>
      </c>
      <c r="C156" s="906" t="s">
        <v>1909</v>
      </c>
      <c r="D156" s="878">
        <v>0</v>
      </c>
    </row>
    <row r="157" spans="2:4" ht="18">
      <c r="B157" s="845" t="s">
        <v>2020</v>
      </c>
      <c r="C157" s="906" t="s">
        <v>1749</v>
      </c>
      <c r="D157" s="878">
        <v>0</v>
      </c>
    </row>
    <row r="158" spans="2:4" ht="18">
      <c r="B158" s="845" t="s">
        <v>2021</v>
      </c>
      <c r="C158" s="906" t="s">
        <v>1685</v>
      </c>
      <c r="D158" s="878">
        <v>0</v>
      </c>
    </row>
    <row r="159" spans="2:4" ht="10.5" customHeight="1"/>
    <row r="160" spans="2:4" ht="18">
      <c r="B160" s="845" t="s">
        <v>2022</v>
      </c>
      <c r="C160" s="550" t="s">
        <v>1910</v>
      </c>
      <c r="D160" s="878">
        <v>0</v>
      </c>
    </row>
    <row r="161" spans="2:4" ht="11.1" customHeight="1"/>
    <row r="162" spans="2:4" ht="18">
      <c r="B162" s="845"/>
      <c r="C162" s="912" t="s">
        <v>1938</v>
      </c>
      <c r="D162" s="913"/>
    </row>
    <row r="163" spans="2:4" ht="18">
      <c r="B163" s="845" t="s">
        <v>2023</v>
      </c>
      <c r="C163" s="914" t="s">
        <v>1939</v>
      </c>
      <c r="D163" s="878">
        <v>0</v>
      </c>
    </row>
    <row r="164" spans="2:4" ht="19.5">
      <c r="B164" s="845" t="s">
        <v>2024</v>
      </c>
      <c r="C164" s="899" t="s">
        <v>1935</v>
      </c>
      <c r="D164" s="878">
        <v>0</v>
      </c>
    </row>
    <row r="165" spans="2:4" ht="18">
      <c r="B165" s="845" t="s">
        <v>2025</v>
      </c>
      <c r="C165" s="914" t="s">
        <v>1940</v>
      </c>
      <c r="D165" s="878">
        <v>0</v>
      </c>
    </row>
    <row r="166" spans="2:4" ht="19.5">
      <c r="B166" s="845" t="s">
        <v>2026</v>
      </c>
      <c r="C166" s="899" t="s">
        <v>1935</v>
      </c>
      <c r="D166" s="878">
        <v>0</v>
      </c>
    </row>
    <row r="167" spans="2:4" ht="11.25" customHeight="1"/>
    <row r="168" spans="2:4" ht="18">
      <c r="B168" s="862"/>
      <c r="C168" s="849" t="s">
        <v>1958</v>
      </c>
      <c r="D168" s="848"/>
    </row>
    <row r="169" spans="2:4" ht="18">
      <c r="B169" s="845" t="s">
        <v>2027</v>
      </c>
      <c r="C169" s="135" t="s">
        <v>1957</v>
      </c>
      <c r="D169" s="878">
        <v>0</v>
      </c>
    </row>
    <row r="170" spans="2:4" ht="19.5">
      <c r="B170" s="845" t="s">
        <v>2028</v>
      </c>
      <c r="C170" s="899" t="s">
        <v>1269</v>
      </c>
      <c r="D170" s="878">
        <v>0</v>
      </c>
    </row>
    <row r="171" spans="2:4" ht="18">
      <c r="B171" s="845" t="s">
        <v>2029</v>
      </c>
      <c r="C171" s="135" t="s">
        <v>1959</v>
      </c>
      <c r="D171" s="878">
        <v>0</v>
      </c>
    </row>
    <row r="172" spans="2:4" ht="19.5">
      <c r="B172" s="845" t="s">
        <v>2030</v>
      </c>
      <c r="C172" s="899" t="s">
        <v>1269</v>
      </c>
      <c r="D172" s="878">
        <v>0</v>
      </c>
    </row>
    <row r="173" spans="2:4" ht="18">
      <c r="B173" s="845" t="s">
        <v>2031</v>
      </c>
      <c r="C173" s="135" t="s">
        <v>1956</v>
      </c>
      <c r="D173" s="878">
        <v>0</v>
      </c>
    </row>
    <row r="174" spans="2:4" ht="19.5">
      <c r="B174" s="845" t="s">
        <v>2032</v>
      </c>
      <c r="C174" s="899" t="s">
        <v>1269</v>
      </c>
      <c r="D174" s="878">
        <v>0</v>
      </c>
    </row>
    <row r="175" spans="2:4" ht="18">
      <c r="B175" s="845" t="s">
        <v>2033</v>
      </c>
      <c r="C175" s="135" t="s">
        <v>1961</v>
      </c>
      <c r="D175" s="878">
        <v>0</v>
      </c>
    </row>
    <row r="176" spans="2:4" ht="19.5">
      <c r="B176" s="845" t="s">
        <v>2034</v>
      </c>
      <c r="C176" s="899" t="s">
        <v>1269</v>
      </c>
      <c r="D176" s="878">
        <v>0</v>
      </c>
    </row>
  </sheetData>
  <sheetProtection password="E9D4" sheet="1" objects="1" scenarios="1"/>
  <customSheetViews>
    <customSheetView guid="{871F8275-217B-436F-8813-871F820F0EE4}" showPageBreaks="1" showGridLines="0" printArea="1" view="pageBreakPreview" topLeftCell="A4">
      <selection activeCell="D157" sqref="D157"/>
      <rowBreaks count="2" manualBreakCount="2">
        <brk id="59" max="3" man="1"/>
        <brk id="116" max="3" man="1"/>
      </rowBreaks>
      <pageMargins left="0.82677165354330717" right="0.31496062992125984" top="0.28000000000000003" bottom="0.31496062992125984" header="0.19685039370078741" footer="0.19685039370078741"/>
      <pageSetup paperSize="9" scale="74" orientation="portrait" r:id="rId1"/>
      <headerFooter alignWithMargins="0">
        <oddFooter>&amp;L&amp;7&amp;D&amp;C&amp;7&amp;P&amp;R&amp;7&amp;F</oddFooter>
      </headerFooter>
    </customSheetView>
    <customSheetView guid="{2EBF18CB-80C9-43ED-A978-2AAEAC40933E}" scale="75" showGridLines="0" showRuler="0">
      <selection activeCell="D44" sqref="D44:D45"/>
      <pageMargins left="0.31496062992125984" right="0.31496062992125984" top="0.31496062992125984" bottom="0.31496062992125984" header="0.19685039370078741" footer="0.19685039370078741"/>
      <pageSetup paperSize="9" scale="85" orientation="portrait" r:id="rId2"/>
      <headerFooter alignWithMargins="0">
        <oddFooter>&amp;L&amp;7&amp;D&amp;C&amp;7&amp;P&amp;R&amp;7&amp;F</oddFooter>
      </headerFooter>
    </customSheetView>
    <customSheetView guid="{47D3AB49-9599-4A16-951B-F48FEC1C0136}" scale="75" showGridLines="0" topLeftCell="A25">
      <selection activeCell="D44" sqref="D44:D45"/>
      <pageMargins left="0.31496062992125984" right="0.31496062992125984" top="0.31496062992125984" bottom="0.31496062992125984" header="0.19685039370078741" footer="0.19685039370078741"/>
      <pageSetup paperSize="9" scale="85" orientation="portrait" r:id="rId3"/>
      <headerFooter alignWithMargins="0">
        <oddFooter>&amp;L&amp;7&amp;D&amp;C&amp;7&amp;P&amp;R&amp;7&amp;F</oddFooter>
      </headerFooter>
    </customSheetView>
    <customSheetView guid="{ECE607A2-8A26-46E0-8BDC-E9AD788F604C}" showPageBreaks="1" showGridLines="0" printArea="1" view="pageBreakPreview">
      <selection activeCell="C7" sqref="C7"/>
      <rowBreaks count="2" manualBreakCount="2">
        <brk id="59" max="3" man="1"/>
        <brk id="116" max="3" man="1"/>
      </rowBreaks>
      <pageMargins left="0.82677165354330717" right="0.31496062992125984" top="0.28000000000000003" bottom="0.31496062992125984" header="0.19685039370078741" footer="0.19685039370078741"/>
      <pageSetup paperSize="9" scale="74" orientation="portrait" r:id="rId4"/>
      <headerFooter alignWithMargins="0">
        <oddFooter>&amp;L&amp;7&amp;D&amp;C&amp;7&amp;P&amp;R&amp;7&amp;F</oddFooter>
      </headerFooter>
    </customSheetView>
    <customSheetView guid="{FB1E0752-409C-4E7D-BCFE-7AEBEB8B5F0D}" showPageBreaks="1" showGridLines="0" printArea="1" view="pageBreakPreview" topLeftCell="A166">
      <selection activeCell="D177" sqref="D177"/>
      <rowBreaks count="2" manualBreakCount="2">
        <brk id="59" max="3" man="1"/>
        <brk id="116" max="3" man="1"/>
      </rowBreaks>
      <pageMargins left="0.82677165354330717" right="0.31496062992125984" top="0.28000000000000003" bottom="0.31496062992125984" header="0.19685039370078741" footer="0.19685039370078741"/>
      <pageSetup paperSize="9" scale="74" orientation="portrait" r:id="rId5"/>
      <headerFooter alignWithMargins="0">
        <oddFooter>&amp;L&amp;7&amp;D&amp;C&amp;7&amp;P&amp;R&amp;7&amp;F</oddFooter>
      </headerFooter>
    </customSheetView>
  </customSheetViews>
  <mergeCells count="13">
    <mergeCell ref="B10:D10"/>
    <mergeCell ref="B38:D38"/>
    <mergeCell ref="B60:D60"/>
    <mergeCell ref="B79:D79"/>
    <mergeCell ref="C1:D1"/>
    <mergeCell ref="B44:D44"/>
    <mergeCell ref="B66:D66"/>
    <mergeCell ref="B75:D75"/>
    <mergeCell ref="B71:D71"/>
    <mergeCell ref="B33:D33"/>
    <mergeCell ref="B55:D55"/>
    <mergeCell ref="B49:D49"/>
    <mergeCell ref="B27:D27"/>
  </mergeCells>
  <phoneticPr fontId="0" type="noConversion"/>
  <conditionalFormatting sqref="B106">
    <cfRule type="duplicateValues" dxfId="75" priority="195"/>
  </conditionalFormatting>
  <conditionalFormatting sqref="B7:B9">
    <cfRule type="duplicateValues" dxfId="74" priority="194"/>
  </conditionalFormatting>
  <conditionalFormatting sqref="B29:B32">
    <cfRule type="duplicateValues" dxfId="73" priority="190"/>
  </conditionalFormatting>
  <conditionalFormatting sqref="B34:B37">
    <cfRule type="duplicateValues" dxfId="72" priority="189"/>
  </conditionalFormatting>
  <conditionalFormatting sqref="B40:B43">
    <cfRule type="duplicateValues" dxfId="71" priority="188"/>
  </conditionalFormatting>
  <conditionalFormatting sqref="B45:B48">
    <cfRule type="duplicateValues" dxfId="70" priority="187"/>
  </conditionalFormatting>
  <conditionalFormatting sqref="B51:B54">
    <cfRule type="duplicateValues" dxfId="69" priority="186"/>
  </conditionalFormatting>
  <conditionalFormatting sqref="B56:B59">
    <cfRule type="duplicateValues" dxfId="68" priority="185"/>
  </conditionalFormatting>
  <conditionalFormatting sqref="B62:B65">
    <cfRule type="duplicateValues" dxfId="67" priority="184"/>
  </conditionalFormatting>
  <conditionalFormatting sqref="B67:B70">
    <cfRule type="duplicateValues" dxfId="66" priority="183"/>
  </conditionalFormatting>
  <conditionalFormatting sqref="B73:B74">
    <cfRule type="duplicateValues" dxfId="65" priority="182"/>
  </conditionalFormatting>
  <conditionalFormatting sqref="B77:B78">
    <cfRule type="duplicateValues" dxfId="64" priority="181"/>
  </conditionalFormatting>
  <conditionalFormatting sqref="B81:B91">
    <cfRule type="duplicateValues" dxfId="63" priority="179"/>
  </conditionalFormatting>
  <conditionalFormatting sqref="B141:B146">
    <cfRule type="duplicateValues" dxfId="62" priority="177"/>
  </conditionalFormatting>
  <conditionalFormatting sqref="B16">
    <cfRule type="duplicateValues" dxfId="61" priority="175"/>
  </conditionalFormatting>
  <conditionalFormatting sqref="B150:B154">
    <cfRule type="duplicateValues" dxfId="60" priority="172"/>
  </conditionalFormatting>
  <conditionalFormatting sqref="B109:B116">
    <cfRule type="duplicateValues" dxfId="59" priority="228"/>
  </conditionalFormatting>
  <conditionalFormatting sqref="B119:B126">
    <cfRule type="duplicateValues" dxfId="58" priority="170"/>
  </conditionalFormatting>
  <conditionalFormatting sqref="B118:B126">
    <cfRule type="duplicateValues" dxfId="57" priority="169"/>
  </conditionalFormatting>
  <conditionalFormatting sqref="B131:B138 B92:B103">
    <cfRule type="duplicateValues" dxfId="56" priority="317"/>
  </conditionalFormatting>
  <conditionalFormatting sqref="B129:B138 B92:B103">
    <cfRule type="duplicateValues" dxfId="55" priority="319"/>
  </conditionalFormatting>
  <conditionalFormatting sqref="B157:B164">
    <cfRule type="duplicateValues" dxfId="54" priority="335"/>
  </conditionalFormatting>
  <conditionalFormatting sqref="B159:B160">
    <cfRule type="duplicateValues" dxfId="53" priority="163"/>
  </conditionalFormatting>
  <conditionalFormatting sqref="B81:B84">
    <cfRule type="duplicateValues" dxfId="52" priority="161"/>
  </conditionalFormatting>
  <conditionalFormatting sqref="B87:B90">
    <cfRule type="duplicateValues" dxfId="51" priority="160"/>
  </conditionalFormatting>
  <conditionalFormatting sqref="B103">
    <cfRule type="duplicateValues" dxfId="50" priority="159"/>
  </conditionalFormatting>
  <conditionalFormatting sqref="B104">
    <cfRule type="duplicateValues" dxfId="49" priority="157"/>
  </conditionalFormatting>
  <conditionalFormatting sqref="B129 B131 B133 B135 B137">
    <cfRule type="duplicateValues" dxfId="48" priority="136"/>
  </conditionalFormatting>
  <conditionalFormatting sqref="B129">
    <cfRule type="duplicateValues" dxfId="47" priority="135"/>
  </conditionalFormatting>
  <conditionalFormatting sqref="B130 B132 B134 B136 B138">
    <cfRule type="duplicateValues" dxfId="46" priority="127"/>
  </conditionalFormatting>
  <conditionalFormatting sqref="B130">
    <cfRule type="duplicateValues" dxfId="45" priority="126"/>
  </conditionalFormatting>
  <conditionalFormatting sqref="B141 B143 B145">
    <cfRule type="duplicateValues" dxfId="44" priority="116"/>
  </conditionalFormatting>
  <conditionalFormatting sqref="B141">
    <cfRule type="duplicateValues" dxfId="43" priority="115"/>
  </conditionalFormatting>
  <conditionalFormatting sqref="B142 B144 B146">
    <cfRule type="duplicateValues" dxfId="42" priority="107"/>
  </conditionalFormatting>
  <conditionalFormatting sqref="B142">
    <cfRule type="duplicateValues" dxfId="41" priority="106"/>
  </conditionalFormatting>
  <conditionalFormatting sqref="B148">
    <cfRule type="duplicateValues" dxfId="40" priority="98"/>
  </conditionalFormatting>
  <conditionalFormatting sqref="B150">
    <cfRule type="duplicateValues" dxfId="39" priority="86"/>
  </conditionalFormatting>
  <conditionalFormatting sqref="B151:B154">
    <cfRule type="duplicateValues" dxfId="38" priority="73"/>
  </conditionalFormatting>
  <conditionalFormatting sqref="B12:B15 B17:B26">
    <cfRule type="duplicateValues" dxfId="37" priority="459"/>
  </conditionalFormatting>
  <conditionalFormatting sqref="B105 B6:B15 B156:B164 B108:B116 B127:B146 B148 B17:B103">
    <cfRule type="duplicateValues" dxfId="36" priority="492"/>
  </conditionalFormatting>
  <conditionalFormatting sqref="B1:B1048576">
    <cfRule type="duplicateValues" dxfId="35" priority="502" stopIfTrue="1"/>
  </conditionalFormatting>
  <conditionalFormatting sqref="B118">
    <cfRule type="duplicateValues" dxfId="34" priority="46"/>
  </conditionalFormatting>
  <conditionalFormatting sqref="B153:B158">
    <cfRule type="duplicateValues" dxfId="33" priority="34"/>
  </conditionalFormatting>
  <conditionalFormatting sqref="B162:B166">
    <cfRule type="duplicateValues" dxfId="32" priority="32"/>
  </conditionalFormatting>
  <conditionalFormatting sqref="B121:B128">
    <cfRule type="duplicateValues" dxfId="31" priority="31"/>
  </conditionalFormatting>
  <conditionalFormatting sqref="B131:B138">
    <cfRule type="duplicateValues" dxfId="30" priority="30"/>
  </conditionalFormatting>
  <conditionalFormatting sqref="B130:B138">
    <cfRule type="duplicateValues" dxfId="29" priority="29"/>
  </conditionalFormatting>
  <conditionalFormatting sqref="B105:B115">
    <cfRule type="duplicateValues" dxfId="28" priority="28"/>
  </conditionalFormatting>
  <conditionalFormatting sqref="B143:B150 B104:B115">
    <cfRule type="duplicateValues" dxfId="27" priority="27"/>
  </conditionalFormatting>
  <conditionalFormatting sqref="B104:B115 B141:B150">
    <cfRule type="duplicateValues" dxfId="26" priority="26"/>
  </conditionalFormatting>
  <conditionalFormatting sqref="B169:B176">
    <cfRule type="duplicateValues" dxfId="25" priority="25"/>
  </conditionalFormatting>
  <conditionalFormatting sqref="B171:B172">
    <cfRule type="duplicateValues" dxfId="24" priority="24"/>
  </conditionalFormatting>
  <conditionalFormatting sqref="B81:B88">
    <cfRule type="duplicateValues" dxfId="23" priority="23"/>
  </conditionalFormatting>
  <conditionalFormatting sqref="B115">
    <cfRule type="duplicateValues" dxfId="22" priority="21"/>
  </conditionalFormatting>
  <conditionalFormatting sqref="B116">
    <cfRule type="duplicateValues" dxfId="21" priority="20"/>
  </conditionalFormatting>
  <conditionalFormatting sqref="B141 B143 B145 B147 B149">
    <cfRule type="duplicateValues" dxfId="20" priority="19"/>
  </conditionalFormatting>
  <conditionalFormatting sqref="B141">
    <cfRule type="duplicateValues" dxfId="19" priority="18"/>
  </conditionalFormatting>
  <conditionalFormatting sqref="B142 B144 B146 B148 B150">
    <cfRule type="duplicateValues" dxfId="18" priority="17"/>
  </conditionalFormatting>
  <conditionalFormatting sqref="B142">
    <cfRule type="duplicateValues" dxfId="17" priority="16"/>
  </conditionalFormatting>
  <conditionalFormatting sqref="B153 B155 B157">
    <cfRule type="duplicateValues" dxfId="16" priority="15"/>
  </conditionalFormatting>
  <conditionalFormatting sqref="B153">
    <cfRule type="duplicateValues" dxfId="15" priority="14"/>
  </conditionalFormatting>
  <conditionalFormatting sqref="B154 B156 B158">
    <cfRule type="duplicateValues" dxfId="14" priority="13"/>
  </conditionalFormatting>
  <conditionalFormatting sqref="B154">
    <cfRule type="duplicateValues" dxfId="13" priority="12"/>
  </conditionalFormatting>
  <conditionalFormatting sqref="B160">
    <cfRule type="duplicateValues" dxfId="12" priority="11"/>
  </conditionalFormatting>
  <conditionalFormatting sqref="B162">
    <cfRule type="duplicateValues" dxfId="11" priority="10"/>
  </conditionalFormatting>
  <conditionalFormatting sqref="B163:B166">
    <cfRule type="duplicateValues" dxfId="10" priority="9"/>
  </conditionalFormatting>
  <conditionalFormatting sqref="B117 B6:B15 B168:B176 B120:B128 B139:B158 B160 B17:B115">
    <cfRule type="duplicateValues" dxfId="9" priority="7"/>
  </conditionalFormatting>
  <conditionalFormatting sqref="B93:B94">
    <cfRule type="duplicateValues" dxfId="8" priority="4"/>
  </conditionalFormatting>
  <conditionalFormatting sqref="B95">
    <cfRule type="duplicateValues" dxfId="7" priority="3"/>
  </conditionalFormatting>
  <conditionalFormatting sqref="B97">
    <cfRule type="duplicateValues" dxfId="6" priority="2"/>
  </conditionalFormatting>
  <conditionalFormatting sqref="B93:B103">
    <cfRule type="duplicateValues" dxfId="5" priority="516"/>
  </conditionalFormatting>
  <conditionalFormatting sqref="B99:B102">
    <cfRule type="duplicateValues" dxfId="4" priority="563"/>
  </conditionalFormatting>
  <conditionalFormatting sqref="B6:B176">
    <cfRule type="duplicateValues" dxfId="3" priority="585" stopIfTrue="1"/>
  </conditionalFormatting>
  <conditionalFormatting sqref="B91:B102">
    <cfRule type="duplicateValues" dxfId="2" priority="587"/>
  </conditionalFormatting>
  <conditionalFormatting sqref="B81:B103">
    <cfRule type="duplicateValues" dxfId="1" priority="591"/>
  </conditionalFormatting>
  <pageMargins left="0.82677165354330717" right="0.31496062992125984" top="0.28000000000000003" bottom="0.31496062992125984" header="0.19685039370078741" footer="0.19685039370078741"/>
  <pageSetup paperSize="9" scale="74" orientation="portrait" r:id="rId6"/>
  <headerFooter alignWithMargins="0">
    <oddFooter>&amp;L&amp;7&amp;D&amp;C&amp;7&amp;P&amp;R&amp;7&amp;F</oddFooter>
  </headerFooter>
  <rowBreaks count="2" manualBreakCount="2">
    <brk id="59" max="3" man="1"/>
    <brk id="116" max="3" man="1"/>
  </rowBreaks>
</worksheet>
</file>

<file path=xl/worksheets/sheet39.xml><?xml version="1.0" encoding="utf-8"?>
<worksheet xmlns="http://schemas.openxmlformats.org/spreadsheetml/2006/main" xmlns:r="http://schemas.openxmlformats.org/officeDocument/2006/relationships">
  <sheetPr codeName="Лист11"/>
  <dimension ref="B1:D15"/>
  <sheetViews>
    <sheetView workbookViewId="0">
      <selection activeCell="D7" sqref="D7:D8"/>
    </sheetView>
  </sheetViews>
  <sheetFormatPr defaultRowHeight="15"/>
  <cols>
    <col min="1" max="1" width="4.7109375" style="216" customWidth="1"/>
    <col min="2" max="2" width="10.7109375" style="216" customWidth="1"/>
    <col min="3" max="3" width="53.7109375" style="216" customWidth="1"/>
    <col min="4" max="4" width="20.7109375" style="216" customWidth="1"/>
    <col min="5" max="16384" width="9.140625" style="216"/>
  </cols>
  <sheetData>
    <row r="1" spans="2:4" s="334" customFormat="1" ht="52.5" customHeight="1">
      <c r="C1" s="1255" t="s">
        <v>1875</v>
      </c>
      <c r="D1" s="1256"/>
    </row>
    <row r="2" spans="2:4" s="334" customFormat="1" ht="18">
      <c r="C2" s="39" t="str">
        <f>T!E18</f>
        <v>Номгӯи ташкилоти қарзӣ</v>
      </c>
    </row>
    <row r="3" spans="2:4" s="334" customFormat="1" ht="18">
      <c r="C3" s="611" t="str">
        <f>T!B10</f>
        <v>Ҳисобот дар санаи</v>
      </c>
    </row>
    <row r="4" spans="2:4" s="334" customFormat="1" ht="18">
      <c r="C4" s="612" t="str">
        <f>'List of Scedules'!B38</f>
        <v>ҶАДВАЛИ 18.01. ТАҚСИМОТИ ФОИДАИ СОФ</v>
      </c>
    </row>
    <row r="5" spans="2:4" s="334" customFormat="1">
      <c r="C5" s="765"/>
    </row>
    <row r="6" spans="2:4" ht="18">
      <c r="B6" s="608"/>
      <c r="C6" s="609" t="s">
        <v>982</v>
      </c>
      <c r="D6" s="613" t="s">
        <v>1268</v>
      </c>
    </row>
    <row r="7" spans="2:4" ht="18">
      <c r="B7" s="610" t="s">
        <v>764</v>
      </c>
      <c r="C7" s="614" t="s">
        <v>985</v>
      </c>
      <c r="D7" s="589">
        <v>0</v>
      </c>
    </row>
    <row r="8" spans="2:4" ht="18">
      <c r="B8" s="610" t="s">
        <v>765</v>
      </c>
      <c r="C8" s="615" t="s">
        <v>1447</v>
      </c>
      <c r="D8" s="589">
        <v>0</v>
      </c>
    </row>
    <row r="9" spans="2:4" ht="18">
      <c r="B9" s="616" t="s">
        <v>766</v>
      </c>
      <c r="C9" s="617" t="s">
        <v>1448</v>
      </c>
      <c r="D9" s="618">
        <f>+D7-D8</f>
        <v>0</v>
      </c>
    </row>
    <row r="10" spans="2:4" ht="18">
      <c r="B10" s="610" t="s">
        <v>767</v>
      </c>
      <c r="C10" s="619" t="s">
        <v>1406</v>
      </c>
      <c r="D10" s="586">
        <v>0</v>
      </c>
    </row>
    <row r="11" spans="2:4" ht="18">
      <c r="B11" s="610" t="s">
        <v>768</v>
      </c>
      <c r="C11" s="619" t="s">
        <v>211</v>
      </c>
      <c r="D11" s="586">
        <v>0</v>
      </c>
    </row>
    <row r="12" spans="2:4" ht="18">
      <c r="B12" s="610" t="s">
        <v>769</v>
      </c>
      <c r="C12" s="619" t="s">
        <v>212</v>
      </c>
      <c r="D12" s="586">
        <v>0</v>
      </c>
    </row>
    <row r="13" spans="2:4" ht="18">
      <c r="B13" s="610" t="s">
        <v>770</v>
      </c>
      <c r="C13" s="619" t="s">
        <v>1449</v>
      </c>
      <c r="D13" s="586">
        <v>0</v>
      </c>
    </row>
    <row r="14" spans="2:4" ht="18">
      <c r="B14" s="610" t="s">
        <v>771</v>
      </c>
      <c r="C14" s="619" t="s">
        <v>1768</v>
      </c>
      <c r="D14" s="586">
        <v>0</v>
      </c>
    </row>
    <row r="15" spans="2:4" ht="18">
      <c r="B15" s="610" t="s">
        <v>772</v>
      </c>
      <c r="C15" s="619" t="s">
        <v>1450</v>
      </c>
      <c r="D15" s="618">
        <f>+D9-D10-D11-D12-D13-D14</f>
        <v>0</v>
      </c>
    </row>
  </sheetData>
  <sheetProtection password="E9D4" sheet="1"/>
  <customSheetViews>
    <customSheetView guid="{871F8275-217B-436F-8813-871F820F0EE4}" showPageBreaks="1" showGridLines="0" view="pageBreakPreview">
      <selection activeCell="B18" sqref="B18"/>
      <pageMargins left="0.31496062992125984" right="0.31496062992125984" top="0.39370078740157483" bottom="0.39370078740157483" header="0.19685039370078741" footer="0.19685039370078741"/>
      <pageSetup paperSize="9" scale="110" orientation="portrait" r:id="rId1"/>
      <headerFooter alignWithMargins="0">
        <oddFooter>&amp;L&amp;7&amp;D&amp;C&amp;7&amp;P&amp;R&amp;7&amp;F</oddFooter>
      </headerFooter>
    </customSheetView>
    <customSheetView guid="{2EBF18CB-80C9-43ED-A978-2AAEAC40933E}" scale="75" showGridLines="0" showRuler="0">
      <selection activeCell="B18" sqref="B18"/>
      <pageMargins left="0.31496062992125984" right="0.31496062992125984" top="0.39370078740157483" bottom="0.39370078740157483" header="0.19685039370078741" footer="0.19685039370078741"/>
      <pageSetup paperSize="9" scale="110" orientation="portrait" r:id="rId2"/>
      <headerFooter alignWithMargins="0">
        <oddFooter>&amp;L&amp;7&amp;D&amp;C&amp;7&amp;P&amp;R&amp;7&amp;F</oddFooter>
      </headerFooter>
    </customSheetView>
    <customSheetView guid="{47D3AB49-9599-4A16-951B-F48FEC1C0136}" scale="75" showGridLines="0">
      <selection activeCell="D8" sqref="D8"/>
      <pageMargins left="0.31496062992125984" right="0.31496062992125984" top="0.39370078740157483" bottom="0.39370078740157483" header="0.19685039370078741" footer="0.19685039370078741"/>
      <pageSetup paperSize="9" scale="110" orientation="portrait" r:id="rId3"/>
      <headerFooter alignWithMargins="0">
        <oddFooter>&amp;L&amp;7&amp;D&amp;C&amp;7&amp;P&amp;R&amp;7&amp;F</oddFooter>
      </headerFooter>
    </customSheetView>
    <customSheetView guid="{ECE607A2-8A26-46E0-8BDC-E9AD788F604C}" showPageBreaks="1" showGridLines="0" view="pageBreakPreview">
      <selection activeCell="D9" sqref="D9"/>
      <pageMargins left="0.31496062992125984" right="0.31496062992125984" top="0.39370078740157483" bottom="0.39370078740157483" header="0.19685039370078741" footer="0.19685039370078741"/>
      <pageSetup paperSize="9" scale="110" orientation="portrait" r:id="rId4"/>
      <headerFooter alignWithMargins="0">
        <oddFooter>&amp;L&amp;7&amp;D&amp;C&amp;7&amp;P&amp;R&amp;7&amp;F</oddFooter>
      </headerFooter>
    </customSheetView>
    <customSheetView guid="{FB1E0752-409C-4E7D-BCFE-7AEBEB8B5F0D}" showPageBreaks="1" showGridLines="0" view="pageBreakPreview">
      <selection activeCell="B18" sqref="B18"/>
      <pageMargins left="0.31496062992125984" right="0.31496062992125984" top="0.39370078740157483" bottom="0.39370078740157483" header="0.19685039370078741" footer="0.19685039370078741"/>
      <pageSetup paperSize="9" scale="110" orientation="portrait" r:id="rId5"/>
      <headerFooter alignWithMargins="0">
        <oddFooter>&amp;L&amp;7&amp;D&amp;C&amp;7&amp;P&amp;R&amp;7&amp;F</oddFooter>
      </headerFooter>
    </customSheetView>
  </customSheetViews>
  <mergeCells count="1">
    <mergeCell ref="C1:D1"/>
  </mergeCells>
  <phoneticPr fontId="0" type="noConversion"/>
  <pageMargins left="0.31496062992125984" right="0.31496062992125984" top="0.39370078740157483" bottom="0.39370078740157483" header="0.19685039370078741" footer="0.19685039370078741"/>
  <pageSetup paperSize="9" scale="109" orientation="portrait" r:id="rId6"/>
  <headerFooter alignWithMargins="0">
    <oddFooter>&amp;L&amp;7&amp;D&amp;C&amp;7&amp;P&amp;R&amp;7&amp;F</oddFooter>
  </headerFooter>
</worksheet>
</file>

<file path=xl/worksheets/sheet4.xml><?xml version="1.0" encoding="utf-8"?>
<worksheet xmlns="http://schemas.openxmlformats.org/spreadsheetml/2006/main" xmlns:r="http://schemas.openxmlformats.org/officeDocument/2006/relationships">
  <sheetPr codeName="Лист3"/>
  <dimension ref="A1:I55"/>
  <sheetViews>
    <sheetView workbookViewId="0"/>
  </sheetViews>
  <sheetFormatPr defaultColWidth="9.28515625" defaultRowHeight="15"/>
  <cols>
    <col min="1" max="1" width="8" style="47" customWidth="1"/>
    <col min="2" max="2" width="24.7109375" style="47" customWidth="1"/>
    <col min="3" max="3" width="34" style="47" customWidth="1"/>
    <col min="4" max="4" width="13.42578125" style="47" customWidth="1"/>
    <col min="5" max="5" width="7.42578125" style="47" customWidth="1"/>
    <col min="6" max="6" width="9.28515625" style="47" customWidth="1"/>
    <col min="7" max="7" width="10.7109375" style="47" customWidth="1"/>
    <col min="8" max="8" width="3.7109375" style="47" customWidth="1"/>
    <col min="9" max="9" width="9.28515625" style="47" customWidth="1"/>
    <col min="10" max="16384" width="9.28515625" style="47"/>
  </cols>
  <sheetData>
    <row r="1" spans="1:9" ht="29.25" customHeight="1">
      <c r="B1" s="56"/>
      <c r="E1" s="1167" t="s">
        <v>1848</v>
      </c>
      <c r="F1" s="1173"/>
      <c r="G1" s="1173"/>
      <c r="H1" s="1173"/>
      <c r="I1" s="1173"/>
    </row>
    <row r="2" spans="1:9" ht="18">
      <c r="B2" s="39"/>
      <c r="D2" s="49"/>
    </row>
    <row r="3" spans="1:9" ht="18">
      <c r="A3" s="1169" t="s">
        <v>1880</v>
      </c>
      <c r="B3" s="1170"/>
      <c r="C3" s="1170"/>
      <c r="D3" s="1170"/>
      <c r="E3" s="1170"/>
      <c r="F3" s="1170"/>
      <c r="G3" s="1170"/>
      <c r="H3" s="1170"/>
      <c r="I3" s="1170"/>
    </row>
    <row r="4" spans="1:9" ht="18">
      <c r="B4" s="39"/>
      <c r="D4" s="49"/>
    </row>
    <row r="5" spans="1:9" ht="18">
      <c r="B5" s="44"/>
      <c r="C5" s="48" t="str">
        <f>T!B10</f>
        <v>Ҳисобот дар санаи</v>
      </c>
      <c r="D5" s="36"/>
    </row>
    <row r="6" spans="1:9" ht="18">
      <c r="B6" s="1174"/>
      <c r="C6" s="1174"/>
      <c r="D6" s="1174"/>
    </row>
    <row r="7" spans="1:9" ht="18">
      <c r="B7" s="1172" t="s">
        <v>1648</v>
      </c>
      <c r="C7" s="1172"/>
      <c r="D7" s="1172"/>
    </row>
    <row r="8" spans="1:9" ht="18">
      <c r="B8" s="51" t="s">
        <v>1748</v>
      </c>
      <c r="C8" s="918"/>
      <c r="D8" s="919"/>
    </row>
    <row r="9" spans="1:9" ht="18">
      <c r="B9" s="51" t="s">
        <v>996</v>
      </c>
      <c r="C9" s="772"/>
      <c r="D9" s="773"/>
      <c r="E9" s="774"/>
      <c r="F9" s="774"/>
      <c r="G9" s="774"/>
    </row>
    <row r="10" spans="1:9" ht="18">
      <c r="B10" s="51" t="s">
        <v>1001</v>
      </c>
      <c r="C10" s="796"/>
      <c r="D10" s="797"/>
    </row>
    <row r="11" spans="1:9" ht="18">
      <c r="B11" s="51" t="s">
        <v>1165</v>
      </c>
      <c r="C11" s="52"/>
      <c r="D11" s="50"/>
    </row>
    <row r="12" spans="1:9" ht="18">
      <c r="B12" s="23"/>
      <c r="C12" s="23"/>
      <c r="D12" s="23"/>
    </row>
    <row r="13" spans="1:9" ht="18">
      <c r="B13" s="1172" t="s">
        <v>1649</v>
      </c>
      <c r="C13" s="1172"/>
      <c r="D13" s="50"/>
    </row>
    <row r="14" spans="1:9" ht="18">
      <c r="B14" s="51" t="s">
        <v>1748</v>
      </c>
      <c r="C14" s="775"/>
      <c r="D14" s="776"/>
    </row>
    <row r="15" spans="1:9" ht="18">
      <c r="B15" s="51" t="s">
        <v>996</v>
      </c>
      <c r="C15" s="773"/>
      <c r="D15" s="773"/>
    </row>
    <row r="16" spans="1:9" ht="18">
      <c r="B16" s="51" t="s">
        <v>1001</v>
      </c>
      <c r="C16" s="798"/>
      <c r="D16" s="797"/>
    </row>
    <row r="17" spans="2:5" ht="18">
      <c r="B17" s="51" t="s">
        <v>1165</v>
      </c>
      <c r="C17" s="52"/>
      <c r="D17" s="50"/>
    </row>
    <row r="18" spans="2:5" ht="18">
      <c r="B18" s="51"/>
      <c r="C18" s="53"/>
      <c r="D18" s="50"/>
    </row>
    <row r="19" spans="2:5" ht="15.75" customHeight="1">
      <c r="B19" s="1172" t="s">
        <v>1650</v>
      </c>
      <c r="C19" s="1172"/>
      <c r="D19" s="1172"/>
    </row>
    <row r="20" spans="2:5" ht="18">
      <c r="B20" s="51" t="s">
        <v>1748</v>
      </c>
      <c r="C20" s="771"/>
      <c r="D20" s="771"/>
    </row>
    <row r="21" spans="2:5" ht="18">
      <c r="B21" s="51" t="s">
        <v>996</v>
      </c>
      <c r="C21" s="778"/>
      <c r="D21" s="773"/>
      <c r="E21" s="777"/>
    </row>
    <row r="22" spans="2:5" ht="18">
      <c r="B22" s="51" t="s">
        <v>1001</v>
      </c>
      <c r="C22" s="796"/>
      <c r="D22" s="797"/>
    </row>
    <row r="23" spans="2:5" ht="18">
      <c r="B23" s="51" t="s">
        <v>1165</v>
      </c>
      <c r="C23" s="52"/>
      <c r="D23" s="50"/>
    </row>
    <row r="24" spans="2:5" ht="18">
      <c r="B24" s="51"/>
      <c r="C24" s="53"/>
      <c r="D24" s="50"/>
    </row>
    <row r="25" spans="2:5" ht="18">
      <c r="B25" s="1172" t="s">
        <v>1651</v>
      </c>
      <c r="C25" s="1172"/>
      <c r="D25" s="50"/>
    </row>
    <row r="26" spans="2:5" ht="18">
      <c r="B26" s="51" t="s">
        <v>1748</v>
      </c>
      <c r="C26" s="771"/>
      <c r="D26" s="771"/>
    </row>
    <row r="27" spans="2:5" ht="18">
      <c r="B27" s="51" t="s">
        <v>996</v>
      </c>
      <c r="C27" s="772"/>
      <c r="D27" s="773"/>
    </row>
    <row r="28" spans="2:5" ht="18">
      <c r="B28" s="51" t="s">
        <v>1001</v>
      </c>
      <c r="C28" s="796"/>
      <c r="D28" s="797"/>
    </row>
    <row r="29" spans="2:5" ht="18">
      <c r="B29" s="51" t="s">
        <v>1165</v>
      </c>
      <c r="C29" s="52"/>
      <c r="D29" s="50"/>
    </row>
    <row r="30" spans="2:5" ht="18">
      <c r="B30" s="51"/>
      <c r="C30" s="53"/>
      <c r="D30" s="50"/>
    </row>
    <row r="31" spans="2:5" ht="15.75" customHeight="1">
      <c r="B31" s="1171" t="s">
        <v>732</v>
      </c>
      <c r="C31" s="1171"/>
      <c r="D31" s="1171"/>
    </row>
    <row r="32" spans="2:5" ht="18">
      <c r="B32" s="51" t="s">
        <v>1748</v>
      </c>
      <c r="C32" s="770"/>
      <c r="D32" s="771"/>
    </row>
    <row r="33" spans="2:4" ht="18">
      <c r="B33" s="51" t="s">
        <v>996</v>
      </c>
      <c r="C33" s="772"/>
      <c r="D33" s="773"/>
    </row>
    <row r="34" spans="2:4" ht="18">
      <c r="B34" s="51" t="s">
        <v>1001</v>
      </c>
      <c r="C34" s="796"/>
      <c r="D34" s="797"/>
    </row>
    <row r="35" spans="2:4" ht="18">
      <c r="B35" s="51" t="s">
        <v>1165</v>
      </c>
      <c r="C35" s="52"/>
      <c r="D35" s="50"/>
    </row>
    <row r="36" spans="2:4" ht="18">
      <c r="B36" s="51"/>
      <c r="C36" s="53"/>
      <c r="D36" s="50"/>
    </row>
    <row r="37" spans="2:4" ht="18">
      <c r="B37" s="1172" t="s">
        <v>1652</v>
      </c>
      <c r="C37" s="1172"/>
      <c r="D37" s="50"/>
    </row>
    <row r="38" spans="2:4" ht="18">
      <c r="B38" s="51" t="s">
        <v>1748</v>
      </c>
      <c r="C38" s="771"/>
      <c r="D38" s="771"/>
    </row>
    <row r="39" spans="2:4" ht="18">
      <c r="B39" s="51" t="s">
        <v>996</v>
      </c>
      <c r="C39" s="772"/>
      <c r="D39" s="773"/>
    </row>
    <row r="40" spans="2:4" ht="18">
      <c r="B40" s="51" t="s">
        <v>1001</v>
      </c>
      <c r="C40" s="796"/>
      <c r="D40" s="797"/>
    </row>
    <row r="41" spans="2:4" ht="18">
      <c r="B41" s="51" t="s">
        <v>1165</v>
      </c>
      <c r="C41" s="52"/>
      <c r="D41" s="50"/>
    </row>
    <row r="42" spans="2:4" ht="18">
      <c r="B42" s="51"/>
      <c r="C42" s="53"/>
      <c r="D42" s="50"/>
    </row>
    <row r="43" spans="2:4" ht="15.75" customHeight="1">
      <c r="B43" s="1171" t="s">
        <v>966</v>
      </c>
      <c r="C43" s="1171"/>
      <c r="D43" s="1171"/>
    </row>
    <row r="44" spans="2:4" ht="18">
      <c r="B44" s="51" t="s">
        <v>1748</v>
      </c>
      <c r="C44" s="770"/>
      <c r="D44" s="771"/>
    </row>
    <row r="45" spans="2:4" ht="18">
      <c r="B45" s="51" t="s">
        <v>996</v>
      </c>
      <c r="C45" s="772"/>
      <c r="D45" s="773"/>
    </row>
    <row r="46" spans="2:4" ht="18">
      <c r="B46" s="51" t="s">
        <v>1001</v>
      </c>
      <c r="C46" s="796"/>
      <c r="D46" s="797"/>
    </row>
    <row r="47" spans="2:4" ht="18">
      <c r="B47" s="51" t="s">
        <v>1165</v>
      </c>
      <c r="C47" s="52"/>
      <c r="D47" s="50"/>
    </row>
    <row r="48" spans="2:4" ht="18">
      <c r="B48" s="51"/>
      <c r="C48" s="53"/>
      <c r="D48" s="50"/>
    </row>
    <row r="49" spans="2:9" ht="15.75" customHeight="1"/>
    <row r="52" spans="2:9" ht="18">
      <c r="B52" s="27"/>
      <c r="C52" s="26"/>
      <c r="D52" s="26"/>
    </row>
    <row r="53" spans="2:9" ht="18">
      <c r="B53" s="36"/>
      <c r="C53" s="26"/>
      <c r="D53" s="26"/>
    </row>
    <row r="54" spans="2:9" ht="18">
      <c r="B54" s="31" t="s">
        <v>1030</v>
      </c>
      <c r="C54" s="24"/>
      <c r="D54" s="46"/>
      <c r="E54" s="32"/>
      <c r="F54" s="32"/>
      <c r="G54" s="32"/>
      <c r="H54" s="30"/>
      <c r="I54" s="32"/>
    </row>
    <row r="55" spans="2:9" ht="18">
      <c r="B55" s="24"/>
      <c r="C55" s="31"/>
      <c r="D55" s="33" t="s">
        <v>991</v>
      </c>
      <c r="E55" s="24"/>
      <c r="F55" s="33" t="s">
        <v>1822</v>
      </c>
      <c r="G55" s="24"/>
      <c r="H55" s="24"/>
      <c r="I55" s="45" t="s">
        <v>1823</v>
      </c>
    </row>
  </sheetData>
  <customSheetViews>
    <customSheetView guid="{871F8275-217B-436F-8813-871F820F0EE4}" showPageBreaks="1" showGridLines="0" printArea="1" view="pageBreakPreview" topLeftCell="A25">
      <selection activeCell="B55" sqref="B55"/>
      <pageMargins left="0.31496062992125984" right="0.31496062992125984" top="0.39370078740157483" bottom="0.39370078740157483" header="0.19685039370078741" footer="0.19685039370078741"/>
      <pageSetup paperSize="9" scale="77" orientation="portrait" r:id="rId1"/>
      <headerFooter alignWithMargins="0">
        <oddFooter>&amp;L&amp;7&amp;D&amp;C&amp;7&amp;P&amp;R&amp;7&amp;F</oddFooter>
      </headerFooter>
    </customSheetView>
    <customSheetView guid="{2EBF18CB-80C9-43ED-A978-2AAEAC40933E}" scale="75" showGridLines="0" showRuler="0">
      <selection activeCell="F7" sqref="F7"/>
      <pageMargins left="0.31496062992125984" right="0.31496062992125984" top="0.39370078740157483" bottom="0.39370078740157483" header="0.19685039370078741" footer="0.19685039370078741"/>
      <pageSetup paperSize="9" scale="80" orientation="portrait" r:id="rId2"/>
      <headerFooter alignWithMargins="0">
        <oddFooter>&amp;L&amp;7&amp;D&amp;C&amp;7&amp;P&amp;R&amp;7&amp;F</oddFooter>
      </headerFooter>
    </customSheetView>
    <customSheetView guid="{47D3AB49-9599-4A16-951B-F48FEC1C0136}" scale="75" showPageBreaks="1" showGridLines="0" topLeftCell="A28">
      <selection activeCell="C61" sqref="C61"/>
      <pageMargins left="0.31496062992125984" right="0.31496062992125984" top="0.39370078740157483" bottom="0.39370078740157483" header="0.19685039370078741" footer="0.19685039370078741"/>
      <pageSetup paperSize="9" scale="80" orientation="portrait" r:id="rId3"/>
      <headerFooter alignWithMargins="0">
        <oddFooter>&amp;L&amp;7&amp;D&amp;C&amp;7&amp;P&amp;R&amp;7&amp;F</oddFooter>
      </headerFooter>
    </customSheetView>
    <customSheetView guid="{ECE607A2-8A26-46E0-8BDC-E9AD788F604C}" showPageBreaks="1" showGridLines="0" printArea="1" view="pageBreakPreview" topLeftCell="A24">
      <selection activeCell="K34" sqref="K34"/>
      <pageMargins left="0.31496062992125984" right="0.31496062992125984" top="0.39370078740157483" bottom="0.39370078740157483" header="0.19685039370078741" footer="0.19685039370078741"/>
      <pageSetup paperSize="9" scale="77" orientation="portrait" r:id="rId4"/>
      <headerFooter alignWithMargins="0">
        <oddFooter>&amp;L&amp;7&amp;D&amp;C&amp;7&amp;P&amp;R&amp;7&amp;F</oddFooter>
      </headerFooter>
    </customSheetView>
    <customSheetView guid="{FB1E0752-409C-4E7D-BCFE-7AEBEB8B5F0D}" showPageBreaks="1" showGridLines="0" printArea="1" view="pageBreakPreview" topLeftCell="A43">
      <selection activeCell="F14" sqref="F14"/>
      <pageMargins left="0.31496062992125984" right="0.31496062992125984" top="0.39370078740157483" bottom="0.39370078740157483" header="0.19685039370078741" footer="0.19685039370078741"/>
      <pageSetup paperSize="9" scale="77" orientation="portrait" r:id="rId5"/>
      <headerFooter alignWithMargins="0">
        <oddFooter>&amp;L&amp;7&amp;D&amp;C&amp;7&amp;P&amp;R&amp;7&amp;F</oddFooter>
      </headerFooter>
    </customSheetView>
  </customSheetViews>
  <mergeCells count="10">
    <mergeCell ref="B43:D43"/>
    <mergeCell ref="B19:D19"/>
    <mergeCell ref="E1:I1"/>
    <mergeCell ref="B6:D6"/>
    <mergeCell ref="B13:C13"/>
    <mergeCell ref="A3:I3"/>
    <mergeCell ref="B7:D7"/>
    <mergeCell ref="B37:C37"/>
    <mergeCell ref="B25:C25"/>
    <mergeCell ref="B31:D31"/>
  </mergeCells>
  <phoneticPr fontId="0" type="noConversion"/>
  <pageMargins left="0.31496062992125984" right="0.31496062992125984" top="0.39370078740157483" bottom="0.39370078740157483" header="0.19685039370078741" footer="0.19685039370078741"/>
  <pageSetup paperSize="9" scale="77" orientation="portrait" r:id="rId6"/>
  <headerFooter alignWithMargins="0">
    <oddFooter>&amp;L&amp;7&amp;D&amp;C&amp;7&amp;P&amp;R&amp;7&amp;F</oddFooter>
  </headerFooter>
</worksheet>
</file>

<file path=xl/worksheets/sheet40.xml><?xml version="1.0" encoding="utf-8"?>
<worksheet xmlns="http://schemas.openxmlformats.org/spreadsheetml/2006/main" xmlns:r="http://schemas.openxmlformats.org/officeDocument/2006/relationships">
  <sheetPr codeName="Лист39"/>
  <dimension ref="B1:O49"/>
  <sheetViews>
    <sheetView topLeftCell="A27" workbookViewId="0">
      <selection activeCell="E32" sqref="E32"/>
    </sheetView>
  </sheetViews>
  <sheetFormatPr defaultRowHeight="18"/>
  <cols>
    <col min="1" max="1" width="2" style="632" customWidth="1"/>
    <col min="2" max="3" width="12.7109375" style="632" customWidth="1"/>
    <col min="4" max="13" width="16.7109375" style="632" customWidth="1"/>
    <col min="14" max="14" width="24.85546875" style="632" bestFit="1" customWidth="1"/>
    <col min="15" max="15" width="11.140625" style="632" bestFit="1" customWidth="1"/>
    <col min="16" max="16384" width="9.140625" style="632"/>
  </cols>
  <sheetData>
    <row r="1" spans="2:15" s="622" customFormat="1" ht="13.5" customHeight="1">
      <c r="K1" s="1189" t="s">
        <v>1876</v>
      </c>
      <c r="L1" s="1173"/>
      <c r="M1" s="1173"/>
    </row>
    <row r="2" spans="2:15" s="622" customFormat="1">
      <c r="B2" s="623"/>
      <c r="C2" s="39" t="str">
        <f>T!E18</f>
        <v>Номгӯи ташкилоти қарзӣ</v>
      </c>
      <c r="D2" s="624"/>
      <c r="E2" s="624"/>
      <c r="F2" s="624"/>
      <c r="G2" s="624"/>
      <c r="H2" s="624"/>
      <c r="K2" s="1173"/>
      <c r="L2" s="1173"/>
      <c r="M2" s="1173"/>
    </row>
    <row r="3" spans="2:15" s="622" customFormat="1">
      <c r="B3" s="625"/>
      <c r="C3" s="562" t="str">
        <f>T!B10</f>
        <v>Ҳисобот дар санаи</v>
      </c>
      <c r="D3" s="624"/>
      <c r="E3" s="624"/>
      <c r="F3" s="624"/>
      <c r="G3" s="624"/>
      <c r="H3" s="624"/>
    </row>
    <row r="4" spans="2:15" s="622" customFormat="1">
      <c r="B4" s="626"/>
      <c r="C4" s="580" t="str">
        <f>'List of Scedules'!B39</f>
        <v>ҶАДВАЛИ 19.01. МАВҚЕИ АСЪОРИ ХОРИҶӢ</v>
      </c>
      <c r="D4" s="627"/>
      <c r="E4" s="627"/>
      <c r="F4" s="627"/>
      <c r="G4" s="627"/>
      <c r="H4" s="627"/>
    </row>
    <row r="5" spans="2:15" ht="19.5">
      <c r="B5" s="628"/>
      <c r="C5" s="628"/>
      <c r="D5" s="629"/>
      <c r="E5" s="628"/>
      <c r="F5" s="628"/>
      <c r="G5" s="630"/>
      <c r="H5" s="628"/>
      <c r="I5" s="629"/>
      <c r="J5" s="629"/>
      <c r="K5" s="631"/>
    </row>
    <row r="6" spans="2:15">
      <c r="B6" s="1257"/>
      <c r="C6" s="1259" t="s">
        <v>986</v>
      </c>
      <c r="D6" s="1259" t="s">
        <v>1520</v>
      </c>
      <c r="E6" s="1267"/>
      <c r="F6" s="1259" t="s">
        <v>1451</v>
      </c>
      <c r="G6" s="1260"/>
      <c r="H6" s="1260"/>
      <c r="I6" s="1260"/>
      <c r="J6" s="1260"/>
      <c r="K6" s="1260"/>
      <c r="L6" s="1261" t="s">
        <v>1452</v>
      </c>
      <c r="M6" s="1262"/>
    </row>
    <row r="7" spans="2:15">
      <c r="B7" s="1258"/>
      <c r="C7" s="1260"/>
      <c r="D7" s="1267"/>
      <c r="E7" s="1267"/>
      <c r="F7" s="1265" t="s">
        <v>1453</v>
      </c>
      <c r="G7" s="1265"/>
      <c r="H7" s="1265" t="s">
        <v>987</v>
      </c>
      <c r="I7" s="1266"/>
      <c r="J7" s="1263" t="s">
        <v>1454</v>
      </c>
      <c r="K7" s="1264"/>
      <c r="L7" s="1262"/>
      <c r="M7" s="1262"/>
    </row>
    <row r="8" spans="2:15">
      <c r="B8" s="1258"/>
      <c r="C8" s="1260"/>
      <c r="D8" s="621" t="s">
        <v>988</v>
      </c>
      <c r="E8" s="621" t="s">
        <v>1455</v>
      </c>
      <c r="F8" s="621" t="s">
        <v>988</v>
      </c>
      <c r="G8" s="621" t="s">
        <v>1455</v>
      </c>
      <c r="H8" s="621" t="s">
        <v>988</v>
      </c>
      <c r="I8" s="621" t="s">
        <v>1455</v>
      </c>
      <c r="J8" s="621" t="s">
        <v>988</v>
      </c>
      <c r="K8" s="621" t="s">
        <v>1455</v>
      </c>
      <c r="L8" s="621" t="s">
        <v>988</v>
      </c>
      <c r="M8" s="621" t="s">
        <v>1455</v>
      </c>
    </row>
    <row r="9" spans="2:15" hidden="1">
      <c r="B9" s="805"/>
      <c r="C9" s="805"/>
      <c r="D9" s="586">
        <v>0</v>
      </c>
      <c r="E9" s="586">
        <v>100</v>
      </c>
      <c r="F9" s="586">
        <v>0</v>
      </c>
      <c r="G9" s="586">
        <v>0</v>
      </c>
      <c r="H9" s="803">
        <f>SUM(L11:L35)</f>
        <v>0</v>
      </c>
      <c r="I9" s="803">
        <f>SUM(M11:M35)</f>
        <v>0</v>
      </c>
      <c r="J9" s="803">
        <f>SUM(L36:L44)</f>
        <v>0</v>
      </c>
      <c r="K9" s="803">
        <f>SUM(M36:M44)</f>
        <v>0</v>
      </c>
      <c r="L9" s="896">
        <f>SUM(L11:L44)</f>
        <v>0</v>
      </c>
      <c r="M9" s="896">
        <f>SUM(M11:M44)</f>
        <v>0</v>
      </c>
      <c r="N9" s="895"/>
    </row>
    <row r="10" spans="2:15">
      <c r="B10" s="621" t="s">
        <v>1456</v>
      </c>
      <c r="C10" s="621" t="s">
        <v>1457</v>
      </c>
      <c r="D10" s="621">
        <v>1</v>
      </c>
      <c r="E10" s="621">
        <v>2</v>
      </c>
      <c r="F10" s="621">
        <v>3</v>
      </c>
      <c r="G10" s="621">
        <v>4</v>
      </c>
      <c r="H10" s="621">
        <v>5</v>
      </c>
      <c r="I10" s="621">
        <v>6</v>
      </c>
      <c r="J10" s="621">
        <v>7</v>
      </c>
      <c r="K10" s="621">
        <v>8</v>
      </c>
      <c r="L10" s="621">
        <v>9</v>
      </c>
      <c r="M10" s="621">
        <v>10</v>
      </c>
    </row>
    <row r="11" spans="2:15">
      <c r="B11" s="634" t="s">
        <v>60</v>
      </c>
      <c r="C11" s="620" t="s">
        <v>720</v>
      </c>
      <c r="D11" s="635">
        <f>H11+J11</f>
        <v>0</v>
      </c>
      <c r="E11" s="635">
        <f>I11+K11</f>
        <v>0</v>
      </c>
      <c r="F11" s="9"/>
      <c r="G11" s="9"/>
      <c r="H11" s="9"/>
      <c r="I11" s="9"/>
      <c r="J11" s="9"/>
      <c r="K11" s="9"/>
      <c r="L11" s="635">
        <f>IF((D11+F11-E11-G11)&gt;0,D11+F11-E11-G11,0)</f>
        <v>0</v>
      </c>
      <c r="M11" s="635">
        <f t="shared" ref="M11:M35" si="0">-IF((D11+F11-E11-G11)&lt;0,D11+F11-E11-G11,0)</f>
        <v>0</v>
      </c>
      <c r="N11" s="826"/>
      <c r="O11" s="826"/>
    </row>
    <row r="12" spans="2:15">
      <c r="B12" s="634" t="s">
        <v>61</v>
      </c>
      <c r="C12" s="620" t="s">
        <v>709</v>
      </c>
      <c r="D12" s="635">
        <f t="shared" ref="D12:D44" si="1">H12+J12</f>
        <v>0</v>
      </c>
      <c r="E12" s="635">
        <f t="shared" ref="E12:E44" si="2">I12+K12</f>
        <v>0</v>
      </c>
      <c r="F12" s="9"/>
      <c r="G12" s="9"/>
      <c r="H12" s="9"/>
      <c r="I12" s="9"/>
      <c r="J12" s="9"/>
      <c r="K12" s="9"/>
      <c r="L12" s="635">
        <f t="shared" ref="L12:L44" si="3">IF((D12+F12-E12-G12)&gt;0,D12+F12-E12-G12,0)</f>
        <v>0</v>
      </c>
      <c r="M12" s="635">
        <f t="shared" si="0"/>
        <v>0</v>
      </c>
      <c r="N12" s="826"/>
    </row>
    <row r="13" spans="2:15">
      <c r="B13" s="636" t="s">
        <v>62</v>
      </c>
      <c r="C13" s="637" t="s">
        <v>1458</v>
      </c>
      <c r="D13" s="635">
        <f t="shared" si="1"/>
        <v>0</v>
      </c>
      <c r="E13" s="635">
        <f t="shared" si="2"/>
        <v>0</v>
      </c>
      <c r="F13" s="9"/>
      <c r="G13" s="9"/>
      <c r="H13" s="9"/>
      <c r="I13" s="9"/>
      <c r="J13" s="9"/>
      <c r="K13" s="9"/>
      <c r="L13" s="635">
        <f t="shared" si="3"/>
        <v>0</v>
      </c>
      <c r="M13" s="635">
        <f t="shared" si="0"/>
        <v>0</v>
      </c>
      <c r="N13" s="826"/>
    </row>
    <row r="14" spans="2:15">
      <c r="B14" s="636" t="s">
        <v>63</v>
      </c>
      <c r="C14" s="638" t="s">
        <v>1459</v>
      </c>
      <c r="D14" s="635">
        <f t="shared" si="1"/>
        <v>0</v>
      </c>
      <c r="E14" s="635">
        <f t="shared" si="2"/>
        <v>0</v>
      </c>
      <c r="F14" s="9"/>
      <c r="G14" s="9"/>
      <c r="H14" s="9"/>
      <c r="I14" s="9"/>
      <c r="J14" s="9"/>
      <c r="K14" s="9"/>
      <c r="L14" s="635">
        <f t="shared" si="3"/>
        <v>0</v>
      </c>
      <c r="M14" s="635">
        <f t="shared" si="0"/>
        <v>0</v>
      </c>
      <c r="N14" s="826"/>
    </row>
    <row r="15" spans="2:15">
      <c r="B15" s="636" t="s">
        <v>64</v>
      </c>
      <c r="C15" s="620" t="s">
        <v>710</v>
      </c>
      <c r="D15" s="635">
        <f t="shared" si="1"/>
        <v>0</v>
      </c>
      <c r="E15" s="635">
        <f t="shared" si="2"/>
        <v>0</v>
      </c>
      <c r="F15" s="9"/>
      <c r="G15" s="9"/>
      <c r="H15" s="9"/>
      <c r="I15" s="9"/>
      <c r="J15" s="9"/>
      <c r="K15" s="9"/>
      <c r="L15" s="635">
        <f t="shared" si="3"/>
        <v>0</v>
      </c>
      <c r="M15" s="635">
        <f t="shared" si="0"/>
        <v>0</v>
      </c>
      <c r="N15" s="826"/>
    </row>
    <row r="16" spans="2:15">
      <c r="B16" s="636" t="s">
        <v>65</v>
      </c>
      <c r="C16" s="620" t="s">
        <v>721</v>
      </c>
      <c r="D16" s="635">
        <f t="shared" si="1"/>
        <v>0</v>
      </c>
      <c r="E16" s="635">
        <f t="shared" si="2"/>
        <v>0</v>
      </c>
      <c r="F16" s="9"/>
      <c r="G16" s="9"/>
      <c r="H16" s="9"/>
      <c r="I16" s="9"/>
      <c r="J16" s="9"/>
      <c r="K16" s="9"/>
      <c r="L16" s="635">
        <f t="shared" si="3"/>
        <v>0</v>
      </c>
      <c r="M16" s="635">
        <f t="shared" si="0"/>
        <v>0</v>
      </c>
      <c r="N16" s="826"/>
    </row>
    <row r="17" spans="2:14">
      <c r="B17" s="636" t="s">
        <v>66</v>
      </c>
      <c r="C17" s="620" t="s">
        <v>703</v>
      </c>
      <c r="D17" s="635">
        <f t="shared" si="1"/>
        <v>0</v>
      </c>
      <c r="E17" s="635">
        <f t="shared" si="2"/>
        <v>0</v>
      </c>
      <c r="F17" s="9"/>
      <c r="G17" s="9"/>
      <c r="H17" s="9"/>
      <c r="I17" s="9"/>
      <c r="J17" s="9"/>
      <c r="K17" s="9"/>
      <c r="L17" s="635">
        <f t="shared" si="3"/>
        <v>0</v>
      </c>
      <c r="M17" s="635">
        <f t="shared" si="0"/>
        <v>0</v>
      </c>
      <c r="N17" s="826"/>
    </row>
    <row r="18" spans="2:14">
      <c r="B18" s="634" t="s">
        <v>67</v>
      </c>
      <c r="C18" s="620" t="s">
        <v>700</v>
      </c>
      <c r="D18" s="635">
        <f t="shared" si="1"/>
        <v>0</v>
      </c>
      <c r="E18" s="635">
        <f t="shared" si="2"/>
        <v>0</v>
      </c>
      <c r="F18" s="9"/>
      <c r="G18" s="9"/>
      <c r="H18" s="9"/>
      <c r="I18" s="9"/>
      <c r="J18" s="9"/>
      <c r="K18" s="9"/>
      <c r="L18" s="635">
        <f t="shared" si="3"/>
        <v>0</v>
      </c>
      <c r="M18" s="635">
        <f t="shared" si="0"/>
        <v>0</v>
      </c>
      <c r="N18" s="826"/>
    </row>
    <row r="19" spans="2:14">
      <c r="B19" s="636" t="s">
        <v>68</v>
      </c>
      <c r="C19" s="638" t="s">
        <v>1460</v>
      </c>
      <c r="D19" s="635">
        <f t="shared" si="1"/>
        <v>0</v>
      </c>
      <c r="E19" s="635">
        <f t="shared" si="2"/>
        <v>0</v>
      </c>
      <c r="F19" s="9"/>
      <c r="G19" s="9"/>
      <c r="H19" s="9"/>
      <c r="I19" s="9"/>
      <c r="J19" s="9"/>
      <c r="K19" s="9"/>
      <c r="L19" s="635">
        <f t="shared" si="3"/>
        <v>0</v>
      </c>
      <c r="M19" s="635">
        <f t="shared" si="0"/>
        <v>0</v>
      </c>
      <c r="N19" s="826"/>
    </row>
    <row r="20" spans="2:14">
      <c r="B20" s="634" t="s">
        <v>69</v>
      </c>
      <c r="C20" s="620" t="s">
        <v>719</v>
      </c>
      <c r="D20" s="635">
        <f t="shared" si="1"/>
        <v>0</v>
      </c>
      <c r="E20" s="635">
        <f t="shared" si="2"/>
        <v>0</v>
      </c>
      <c r="F20" s="9"/>
      <c r="G20" s="9"/>
      <c r="H20" s="9"/>
      <c r="I20" s="9"/>
      <c r="J20" s="9"/>
      <c r="K20" s="9"/>
      <c r="L20" s="635">
        <f t="shared" si="3"/>
        <v>0</v>
      </c>
      <c r="M20" s="635">
        <f t="shared" si="0"/>
        <v>0</v>
      </c>
      <c r="N20" s="826"/>
    </row>
    <row r="21" spans="2:14">
      <c r="B21" s="634" t="s">
        <v>70</v>
      </c>
      <c r="C21" s="638" t="s">
        <v>1461</v>
      </c>
      <c r="D21" s="635">
        <f t="shared" si="1"/>
        <v>0</v>
      </c>
      <c r="E21" s="635">
        <f t="shared" si="2"/>
        <v>0</v>
      </c>
      <c r="F21" s="9"/>
      <c r="G21" s="9"/>
      <c r="H21" s="9"/>
      <c r="I21" s="9"/>
      <c r="J21" s="9"/>
      <c r="K21" s="9"/>
      <c r="L21" s="635">
        <f t="shared" si="3"/>
        <v>0</v>
      </c>
      <c r="M21" s="635">
        <f t="shared" si="0"/>
        <v>0</v>
      </c>
      <c r="N21" s="826"/>
    </row>
    <row r="22" spans="2:14">
      <c r="B22" s="636" t="s">
        <v>71</v>
      </c>
      <c r="C22" s="620" t="s">
        <v>718</v>
      </c>
      <c r="D22" s="635">
        <f t="shared" si="1"/>
        <v>0</v>
      </c>
      <c r="E22" s="635">
        <f t="shared" si="2"/>
        <v>0</v>
      </c>
      <c r="F22" s="9"/>
      <c r="G22" s="9"/>
      <c r="H22" s="9"/>
      <c r="I22" s="9"/>
      <c r="J22" s="9"/>
      <c r="K22" s="9"/>
      <c r="L22" s="635">
        <f t="shared" si="3"/>
        <v>0</v>
      </c>
      <c r="M22" s="635">
        <f t="shared" si="0"/>
        <v>0</v>
      </c>
      <c r="N22" s="826"/>
    </row>
    <row r="23" spans="2:14">
      <c r="B23" s="634" t="s">
        <v>72</v>
      </c>
      <c r="C23" s="620" t="s">
        <v>711</v>
      </c>
      <c r="D23" s="635">
        <f t="shared" si="1"/>
        <v>0</v>
      </c>
      <c r="E23" s="635">
        <f t="shared" si="2"/>
        <v>0</v>
      </c>
      <c r="F23" s="9"/>
      <c r="G23" s="9"/>
      <c r="H23" s="9"/>
      <c r="I23" s="9"/>
      <c r="J23" s="9"/>
      <c r="K23" s="9"/>
      <c r="L23" s="635">
        <f t="shared" si="3"/>
        <v>0</v>
      </c>
      <c r="M23" s="635">
        <f t="shared" si="0"/>
        <v>0</v>
      </c>
      <c r="N23" s="826"/>
    </row>
    <row r="24" spans="2:14">
      <c r="B24" s="634" t="s">
        <v>73</v>
      </c>
      <c r="C24" s="620" t="s">
        <v>722</v>
      </c>
      <c r="D24" s="635">
        <f t="shared" si="1"/>
        <v>0</v>
      </c>
      <c r="E24" s="635">
        <f t="shared" si="2"/>
        <v>0</v>
      </c>
      <c r="F24" s="9"/>
      <c r="G24" s="9"/>
      <c r="H24" s="9"/>
      <c r="I24" s="9"/>
      <c r="J24" s="9"/>
      <c r="K24" s="9"/>
      <c r="L24" s="635">
        <f t="shared" si="3"/>
        <v>0</v>
      </c>
      <c r="M24" s="635">
        <f t="shared" si="0"/>
        <v>0</v>
      </c>
      <c r="N24" s="826"/>
    </row>
    <row r="25" spans="2:14">
      <c r="B25" s="634" t="s">
        <v>74</v>
      </c>
      <c r="C25" s="620" t="s">
        <v>697</v>
      </c>
      <c r="D25" s="635">
        <f t="shared" si="1"/>
        <v>0</v>
      </c>
      <c r="E25" s="635">
        <f t="shared" si="2"/>
        <v>0</v>
      </c>
      <c r="F25" s="9"/>
      <c r="G25" s="9"/>
      <c r="H25" s="9"/>
      <c r="I25" s="9"/>
      <c r="J25" s="9"/>
      <c r="K25" s="9"/>
      <c r="L25" s="635">
        <f t="shared" si="3"/>
        <v>0</v>
      </c>
      <c r="M25" s="635">
        <f t="shared" si="0"/>
        <v>0</v>
      </c>
      <c r="N25" s="826"/>
    </row>
    <row r="26" spans="2:14">
      <c r="B26" s="634" t="s">
        <v>75</v>
      </c>
      <c r="C26" s="620" t="s">
        <v>698</v>
      </c>
      <c r="D26" s="635">
        <f t="shared" si="1"/>
        <v>0</v>
      </c>
      <c r="E26" s="635">
        <f t="shared" si="2"/>
        <v>0</v>
      </c>
      <c r="F26" s="9"/>
      <c r="G26" s="9"/>
      <c r="H26" s="9"/>
      <c r="I26" s="9"/>
      <c r="J26" s="9"/>
      <c r="K26" s="9"/>
      <c r="L26" s="635">
        <f t="shared" si="3"/>
        <v>0</v>
      </c>
      <c r="M26" s="635">
        <f t="shared" si="0"/>
        <v>0</v>
      </c>
      <c r="N26" s="826"/>
    </row>
    <row r="27" spans="2:14">
      <c r="B27" s="634" t="s">
        <v>76</v>
      </c>
      <c r="C27" s="620" t="s">
        <v>717</v>
      </c>
      <c r="D27" s="635">
        <f t="shared" si="1"/>
        <v>0</v>
      </c>
      <c r="E27" s="635">
        <f t="shared" si="2"/>
        <v>0</v>
      </c>
      <c r="F27" s="9"/>
      <c r="G27" s="9"/>
      <c r="H27" s="9"/>
      <c r="I27" s="9"/>
      <c r="J27" s="9"/>
      <c r="K27" s="9"/>
      <c r="L27" s="635">
        <f t="shared" si="3"/>
        <v>0</v>
      </c>
      <c r="M27" s="635">
        <f t="shared" si="0"/>
        <v>0</v>
      </c>
      <c r="N27" s="826"/>
    </row>
    <row r="28" spans="2:14">
      <c r="B28" s="636" t="s">
        <v>77</v>
      </c>
      <c r="C28" s="639" t="s">
        <v>713</v>
      </c>
      <c r="D28" s="635">
        <f t="shared" si="1"/>
        <v>0</v>
      </c>
      <c r="E28" s="635">
        <f t="shared" si="2"/>
        <v>0</v>
      </c>
      <c r="F28" s="9"/>
      <c r="G28" s="9"/>
      <c r="H28" s="9"/>
      <c r="I28" s="9"/>
      <c r="J28" s="9"/>
      <c r="K28" s="9"/>
      <c r="L28" s="635">
        <f t="shared" si="3"/>
        <v>0</v>
      </c>
      <c r="M28" s="635">
        <f t="shared" si="0"/>
        <v>0</v>
      </c>
      <c r="N28" s="826"/>
    </row>
    <row r="29" spans="2:14" ht="18.75" customHeight="1">
      <c r="B29" s="634" t="s">
        <v>78</v>
      </c>
      <c r="C29" s="620" t="s">
        <v>701</v>
      </c>
      <c r="D29" s="635">
        <f t="shared" si="1"/>
        <v>0</v>
      </c>
      <c r="E29" s="635">
        <f t="shared" si="2"/>
        <v>0</v>
      </c>
      <c r="F29" s="9"/>
      <c r="G29" s="9"/>
      <c r="H29" s="9"/>
      <c r="I29" s="9"/>
      <c r="J29" s="9"/>
      <c r="K29" s="9"/>
      <c r="L29" s="635">
        <f t="shared" si="3"/>
        <v>0</v>
      </c>
      <c r="M29" s="635">
        <f t="shared" si="0"/>
        <v>0</v>
      </c>
      <c r="N29" s="826"/>
    </row>
    <row r="30" spans="2:14">
      <c r="B30" s="636" t="s">
        <v>330</v>
      </c>
      <c r="C30" s="639" t="s">
        <v>712</v>
      </c>
      <c r="D30" s="635">
        <f t="shared" si="1"/>
        <v>0</v>
      </c>
      <c r="E30" s="635">
        <f t="shared" si="2"/>
        <v>0</v>
      </c>
      <c r="F30" s="9"/>
      <c r="G30" s="9"/>
      <c r="H30" s="9"/>
      <c r="I30" s="9"/>
      <c r="J30" s="9"/>
      <c r="K30" s="9"/>
      <c r="L30" s="635">
        <f t="shared" si="3"/>
        <v>0</v>
      </c>
      <c r="M30" s="635">
        <f t="shared" si="0"/>
        <v>0</v>
      </c>
      <c r="N30" s="826"/>
    </row>
    <row r="31" spans="2:14">
      <c r="B31" s="636" t="s">
        <v>79</v>
      </c>
      <c r="C31" s="620" t="s">
        <v>715</v>
      </c>
      <c r="D31" s="635">
        <f t="shared" si="1"/>
        <v>0</v>
      </c>
      <c r="E31" s="635">
        <f t="shared" si="2"/>
        <v>0</v>
      </c>
      <c r="F31" s="9"/>
      <c r="G31" s="9"/>
      <c r="H31" s="9"/>
      <c r="I31" s="9"/>
      <c r="J31" s="9"/>
      <c r="K31" s="9"/>
      <c r="L31" s="635">
        <f t="shared" si="3"/>
        <v>0</v>
      </c>
      <c r="M31" s="635">
        <f t="shared" si="0"/>
        <v>0</v>
      </c>
      <c r="N31" s="826"/>
    </row>
    <row r="32" spans="2:14">
      <c r="B32" s="634" t="s">
        <v>80</v>
      </c>
      <c r="C32" s="620" t="s">
        <v>714</v>
      </c>
      <c r="D32" s="635">
        <f t="shared" si="1"/>
        <v>0</v>
      </c>
      <c r="E32" s="635">
        <f t="shared" si="2"/>
        <v>0</v>
      </c>
      <c r="F32" s="9"/>
      <c r="G32" s="9"/>
      <c r="H32" s="9"/>
      <c r="I32" s="9"/>
      <c r="J32" s="9"/>
      <c r="K32" s="9"/>
      <c r="L32" s="635">
        <f t="shared" si="3"/>
        <v>0</v>
      </c>
      <c r="M32" s="635">
        <f t="shared" si="0"/>
        <v>0</v>
      </c>
      <c r="N32" s="826"/>
    </row>
    <row r="33" spans="2:15">
      <c r="B33" s="636" t="s">
        <v>723</v>
      </c>
      <c r="C33" s="620" t="s">
        <v>716</v>
      </c>
      <c r="D33" s="635">
        <f t="shared" si="1"/>
        <v>0</v>
      </c>
      <c r="E33" s="635">
        <f t="shared" si="2"/>
        <v>0</v>
      </c>
      <c r="F33" s="9"/>
      <c r="G33" s="9"/>
      <c r="H33" s="9"/>
      <c r="I33" s="9"/>
      <c r="J33" s="9"/>
      <c r="K33" s="9"/>
      <c r="L33" s="635">
        <f t="shared" si="3"/>
        <v>0</v>
      </c>
      <c r="M33" s="635">
        <f t="shared" si="0"/>
        <v>0</v>
      </c>
      <c r="N33" s="826"/>
    </row>
    <row r="34" spans="2:15">
      <c r="B34" s="636" t="s">
        <v>724</v>
      </c>
      <c r="C34" s="620" t="s">
        <v>702</v>
      </c>
      <c r="D34" s="635">
        <f t="shared" si="1"/>
        <v>0</v>
      </c>
      <c r="E34" s="635">
        <f t="shared" si="2"/>
        <v>0</v>
      </c>
      <c r="F34" s="9"/>
      <c r="G34" s="9"/>
      <c r="H34" s="9"/>
      <c r="I34" s="9"/>
      <c r="J34" s="9"/>
      <c r="K34" s="9"/>
      <c r="L34" s="635">
        <f t="shared" si="3"/>
        <v>0</v>
      </c>
      <c r="M34" s="635">
        <f t="shared" si="0"/>
        <v>0</v>
      </c>
      <c r="N34" s="826"/>
    </row>
    <row r="35" spans="2:15">
      <c r="B35" s="634" t="s">
        <v>725</v>
      </c>
      <c r="C35" s="620" t="s">
        <v>1462</v>
      </c>
      <c r="D35" s="635">
        <f t="shared" si="1"/>
        <v>0</v>
      </c>
      <c r="E35" s="635">
        <f t="shared" si="2"/>
        <v>0</v>
      </c>
      <c r="F35" s="9"/>
      <c r="G35" s="9"/>
      <c r="H35" s="9"/>
      <c r="I35" s="9"/>
      <c r="J35" s="9"/>
      <c r="K35" s="9"/>
      <c r="L35" s="635">
        <f t="shared" si="3"/>
        <v>0</v>
      </c>
      <c r="M35" s="635">
        <f t="shared" si="0"/>
        <v>0</v>
      </c>
      <c r="N35" s="826"/>
    </row>
    <row r="36" spans="2:15">
      <c r="B36" s="634" t="s">
        <v>726</v>
      </c>
      <c r="C36" s="620" t="s">
        <v>694</v>
      </c>
      <c r="D36" s="635">
        <f t="shared" si="1"/>
        <v>0</v>
      </c>
      <c r="E36" s="635">
        <f t="shared" si="2"/>
        <v>0</v>
      </c>
      <c r="F36" s="9"/>
      <c r="G36" s="9"/>
      <c r="H36" s="9"/>
      <c r="I36" s="9"/>
      <c r="J36" s="9"/>
      <c r="K36" s="9"/>
      <c r="L36" s="635">
        <f t="shared" si="3"/>
        <v>0</v>
      </c>
      <c r="M36" s="635">
        <f t="shared" ref="M36:M44" si="4">-IF((D36+F36-E36-G36)&lt;0,D36+F36-E36-G36,0)</f>
        <v>0</v>
      </c>
      <c r="N36" s="826"/>
    </row>
    <row r="37" spans="2:15">
      <c r="B37" s="634" t="s">
        <v>727</v>
      </c>
      <c r="C37" s="620" t="s">
        <v>699</v>
      </c>
      <c r="D37" s="635">
        <f t="shared" si="1"/>
        <v>0</v>
      </c>
      <c r="E37" s="635">
        <f t="shared" si="2"/>
        <v>0</v>
      </c>
      <c r="F37" s="9"/>
      <c r="G37" s="9"/>
      <c r="H37" s="9"/>
      <c r="I37" s="9"/>
      <c r="J37" s="9"/>
      <c r="K37" s="9"/>
      <c r="L37" s="635">
        <f t="shared" si="3"/>
        <v>0</v>
      </c>
      <c r="M37" s="635">
        <f t="shared" si="4"/>
        <v>0</v>
      </c>
      <c r="N37" s="826"/>
    </row>
    <row r="38" spans="2:15">
      <c r="B38" s="634" t="s">
        <v>728</v>
      </c>
      <c r="C38" s="620" t="s">
        <v>696</v>
      </c>
      <c r="D38" s="635">
        <f t="shared" si="1"/>
        <v>0</v>
      </c>
      <c r="E38" s="635">
        <f t="shared" si="2"/>
        <v>0</v>
      </c>
      <c r="F38" s="9"/>
      <c r="G38" s="9"/>
      <c r="H38" s="9"/>
      <c r="I38" s="9"/>
      <c r="J38" s="9"/>
      <c r="K38" s="9"/>
      <c r="L38" s="635">
        <f t="shared" si="3"/>
        <v>0</v>
      </c>
      <c r="M38" s="635">
        <f t="shared" si="4"/>
        <v>0</v>
      </c>
      <c r="N38" s="826"/>
    </row>
    <row r="39" spans="2:15">
      <c r="B39" s="634" t="s">
        <v>729</v>
      </c>
      <c r="C39" s="620" t="s">
        <v>706</v>
      </c>
      <c r="D39" s="635">
        <f t="shared" si="1"/>
        <v>0</v>
      </c>
      <c r="E39" s="635">
        <f t="shared" si="2"/>
        <v>0</v>
      </c>
      <c r="F39" s="9"/>
      <c r="G39" s="9"/>
      <c r="H39" s="9"/>
      <c r="I39" s="9"/>
      <c r="J39" s="9"/>
      <c r="K39" s="9"/>
      <c r="L39" s="635">
        <f t="shared" si="3"/>
        <v>0</v>
      </c>
      <c r="M39" s="635">
        <f t="shared" si="4"/>
        <v>0</v>
      </c>
      <c r="N39" s="826"/>
    </row>
    <row r="40" spans="2:15">
      <c r="B40" s="634" t="s">
        <v>730</v>
      </c>
      <c r="C40" s="620" t="s">
        <v>704</v>
      </c>
      <c r="D40" s="635">
        <f t="shared" si="1"/>
        <v>0</v>
      </c>
      <c r="E40" s="635">
        <f t="shared" si="2"/>
        <v>0</v>
      </c>
      <c r="F40" s="9"/>
      <c r="G40" s="9"/>
      <c r="H40" s="9"/>
      <c r="I40" s="9"/>
      <c r="J40" s="9"/>
      <c r="K40" s="9"/>
      <c r="L40" s="635">
        <f t="shared" si="3"/>
        <v>0</v>
      </c>
      <c r="M40" s="635">
        <f t="shared" si="4"/>
        <v>0</v>
      </c>
      <c r="N40" s="826"/>
    </row>
    <row r="41" spans="2:15">
      <c r="B41" s="634" t="s">
        <v>731</v>
      </c>
      <c r="C41" s="620" t="s">
        <v>983</v>
      </c>
      <c r="D41" s="635">
        <f t="shared" si="1"/>
        <v>0</v>
      </c>
      <c r="E41" s="635">
        <f t="shared" si="2"/>
        <v>0</v>
      </c>
      <c r="F41" s="9"/>
      <c r="G41" s="9"/>
      <c r="H41" s="9"/>
      <c r="I41" s="9"/>
      <c r="J41" s="9"/>
      <c r="K41" s="9"/>
      <c r="L41" s="635">
        <f t="shared" si="3"/>
        <v>0</v>
      </c>
      <c r="M41" s="635">
        <f t="shared" si="4"/>
        <v>0</v>
      </c>
      <c r="N41" s="826"/>
    </row>
    <row r="42" spans="2:15">
      <c r="B42" s="634" t="s">
        <v>736</v>
      </c>
      <c r="C42" s="620" t="s">
        <v>984</v>
      </c>
      <c r="D42" s="635">
        <f t="shared" si="1"/>
        <v>0</v>
      </c>
      <c r="E42" s="635">
        <f t="shared" si="2"/>
        <v>0</v>
      </c>
      <c r="F42" s="9"/>
      <c r="G42" s="9"/>
      <c r="H42" s="9"/>
      <c r="I42" s="9"/>
      <c r="J42" s="9"/>
      <c r="K42" s="9"/>
      <c r="L42" s="635">
        <f t="shared" si="3"/>
        <v>0</v>
      </c>
      <c r="M42" s="635">
        <f t="shared" si="4"/>
        <v>0</v>
      </c>
      <c r="N42" s="826"/>
    </row>
    <row r="43" spans="2:15">
      <c r="B43" s="636" t="s">
        <v>737</v>
      </c>
      <c r="C43" s="620" t="s">
        <v>695</v>
      </c>
      <c r="D43" s="635">
        <f t="shared" si="1"/>
        <v>0</v>
      </c>
      <c r="E43" s="635">
        <f t="shared" si="2"/>
        <v>0</v>
      </c>
      <c r="F43" s="9"/>
      <c r="G43" s="9"/>
      <c r="H43" s="9"/>
      <c r="I43" s="9"/>
      <c r="J43" s="9"/>
      <c r="K43" s="9"/>
      <c r="L43" s="635">
        <f t="shared" si="3"/>
        <v>0</v>
      </c>
      <c r="M43" s="635">
        <f t="shared" si="4"/>
        <v>0</v>
      </c>
      <c r="N43" s="826"/>
    </row>
    <row r="44" spans="2:15">
      <c r="B44" s="634" t="s">
        <v>738</v>
      </c>
      <c r="C44" s="620" t="s">
        <v>705</v>
      </c>
      <c r="D44" s="635">
        <f t="shared" si="1"/>
        <v>0</v>
      </c>
      <c r="E44" s="635">
        <f t="shared" si="2"/>
        <v>0</v>
      </c>
      <c r="F44" s="9"/>
      <c r="G44" s="9"/>
      <c r="H44" s="9"/>
      <c r="I44" s="9"/>
      <c r="J44" s="9"/>
      <c r="K44" s="9"/>
      <c r="L44" s="635">
        <f t="shared" si="3"/>
        <v>0</v>
      </c>
      <c r="M44" s="635">
        <f t="shared" si="4"/>
        <v>0</v>
      </c>
      <c r="N44" s="826"/>
      <c r="O44" s="826"/>
    </row>
    <row r="46" spans="2:15">
      <c r="L46" s="801"/>
    </row>
    <row r="48" spans="2:15">
      <c r="F48" s="826"/>
      <c r="G48" s="826"/>
    </row>
    <row r="49" spans="6:7">
      <c r="F49" s="826"/>
      <c r="G49" s="826"/>
    </row>
  </sheetData>
  <sheetProtection password="E9D4" sheet="1" formatCells="0" formatColumns="0" formatRows="0" insertColumns="0" insertRows="0" insertHyperlinks="0" deleteColumns="0" deleteRows="0" sort="0" autoFilter="0" pivotTables="0"/>
  <customSheetViews>
    <customSheetView guid="{871F8275-217B-436F-8813-871F820F0EE4}" scale="90" showPageBreaks="1" printArea="1" hiddenRows="1" view="pageBreakPreview" topLeftCell="A14">
      <selection activeCell="H28" sqref="H28"/>
      <pageMargins left="0.42" right="0.31496062992125984" top="0.39370078740157483" bottom="0.39370078740157483" header="0.19685039370078741" footer="0.19685039370078741"/>
      <pageSetup paperSize="9" scale="70" orientation="landscape" r:id="rId1"/>
      <headerFooter alignWithMargins="0">
        <oddFooter>&amp;L&amp;7&amp;D&amp;C&amp;7&amp;P&amp;R&amp;7&amp;F</oddFooter>
      </headerFooter>
    </customSheetView>
    <customSheetView guid="{2EBF18CB-80C9-43ED-A978-2AAEAC40933E}" scale="75" hiddenRows="1" showRuler="0" topLeftCell="A25">
      <selection activeCell="F45" sqref="F45"/>
      <pageMargins left="0.31496062992125984" right="0.31496062992125984" top="0.39370078740157483" bottom="0.39370078740157483" header="0.19685039370078741" footer="0.19685039370078741"/>
      <pageSetup paperSize="9" scale="74" orientation="landscape" r:id="rId2"/>
      <headerFooter alignWithMargins="0">
        <oddFooter>&amp;L&amp;7&amp;D&amp;C&amp;7&amp;P&amp;R&amp;7&amp;F</oddFooter>
      </headerFooter>
    </customSheetView>
    <customSheetView guid="{47D3AB49-9599-4A16-951B-F48FEC1C0136}" scale="75" hiddenRows="1" topLeftCell="A25">
      <selection activeCell="F43" sqref="F43:G45"/>
      <pageMargins left="0.31496062992125984" right="0.31496062992125984" top="0.39370078740157483" bottom="0.39370078740157483" header="0.19685039370078741" footer="0.19685039370078741"/>
      <pageSetup paperSize="9" scale="74" orientation="landscape" r:id="rId3"/>
      <headerFooter alignWithMargins="0">
        <oddFooter>&amp;L&amp;7&amp;D&amp;C&amp;7&amp;P&amp;R&amp;7&amp;F</oddFooter>
      </headerFooter>
    </customSheetView>
    <customSheetView guid="{ECE607A2-8A26-46E0-8BDC-E9AD788F604C}" scale="90" showPageBreaks="1" printArea="1" hiddenRows="1" view="pageBreakPreview" topLeftCell="A25">
      <selection activeCell="I26" sqref="I26"/>
      <pageMargins left="0.42" right="0.31496062992125984" top="0.39370078740157483" bottom="0.39370078740157483" header="0.19685039370078741" footer="0.19685039370078741"/>
      <pageSetup paperSize="9" scale="70" orientation="landscape" r:id="rId4"/>
      <headerFooter alignWithMargins="0">
        <oddFooter>&amp;L&amp;7&amp;D&amp;C&amp;7&amp;P&amp;R&amp;7&amp;F</oddFooter>
      </headerFooter>
    </customSheetView>
    <customSheetView guid="{FB1E0752-409C-4E7D-BCFE-7AEBEB8B5F0D}" scale="90" showPageBreaks="1" printArea="1" hiddenRows="1" view="pageBreakPreview" topLeftCell="A16">
      <selection activeCell="C54" sqref="C54"/>
      <pageMargins left="0.42" right="0.31496062992125984" top="0.39370078740157483" bottom="0.39370078740157483" header="0.19685039370078741" footer="0.19685039370078741"/>
      <pageSetup paperSize="9" scale="70" orientation="landscape" r:id="rId5"/>
      <headerFooter alignWithMargins="0">
        <oddFooter>&amp;L&amp;7&amp;D&amp;C&amp;7&amp;P&amp;R&amp;7&amp;F</oddFooter>
      </headerFooter>
    </customSheetView>
  </customSheetViews>
  <mergeCells count="9">
    <mergeCell ref="K1:M2"/>
    <mergeCell ref="B6:B8"/>
    <mergeCell ref="C6:C8"/>
    <mergeCell ref="L6:M7"/>
    <mergeCell ref="J7:K7"/>
    <mergeCell ref="F7:G7"/>
    <mergeCell ref="H7:I7"/>
    <mergeCell ref="D6:E7"/>
    <mergeCell ref="F6:K6"/>
  </mergeCells>
  <phoneticPr fontId="0" type="noConversion"/>
  <pageMargins left="0.42" right="0.31496062992125984" top="0.39370078740157483" bottom="0.39370078740157483" header="0.19685039370078741" footer="0.19685039370078741"/>
  <pageSetup paperSize="9" scale="70" orientation="landscape" r:id="rId6"/>
  <headerFooter alignWithMargins="0">
    <oddFooter>&amp;L&amp;7&amp;D&amp;C&amp;7&amp;P&amp;R&amp;7&amp;F</oddFooter>
  </headerFooter>
</worksheet>
</file>

<file path=xl/worksheets/sheet41.xml><?xml version="1.0" encoding="utf-8"?>
<worksheet xmlns="http://schemas.openxmlformats.org/spreadsheetml/2006/main" xmlns:r="http://schemas.openxmlformats.org/officeDocument/2006/relationships">
  <sheetPr codeName="Лист40">
    <pageSetUpPr fitToPage="1"/>
  </sheetPr>
  <dimension ref="B1:O28"/>
  <sheetViews>
    <sheetView tabSelected="1" workbookViewId="0">
      <selection activeCell="G16" sqref="G16 G22"/>
    </sheetView>
  </sheetViews>
  <sheetFormatPr defaultRowHeight="18"/>
  <cols>
    <col min="1" max="1" width="1.140625" style="91" customWidth="1"/>
    <col min="2" max="2" width="10.85546875" style="91" customWidth="1"/>
    <col min="3" max="3" width="32.5703125" style="91" customWidth="1"/>
    <col min="4" max="15" width="16.7109375" style="91" customWidth="1"/>
    <col min="16" max="16384" width="9.140625" style="91"/>
  </cols>
  <sheetData>
    <row r="1" spans="2:15" s="87" customFormat="1" ht="33" customHeight="1">
      <c r="B1" s="202"/>
      <c r="C1" s="203"/>
      <c r="D1" s="204"/>
      <c r="E1" s="204"/>
      <c r="F1" s="204"/>
      <c r="G1" s="204"/>
      <c r="H1" s="204"/>
      <c r="I1" s="204"/>
      <c r="J1" s="204"/>
      <c r="K1" s="204"/>
      <c r="M1" s="1189" t="s">
        <v>1877</v>
      </c>
      <c r="N1" s="1173"/>
      <c r="O1" s="1173"/>
    </row>
    <row r="2" spans="2:15" s="87" customFormat="1">
      <c r="B2" s="202"/>
      <c r="C2" s="39" t="str">
        <f>T!E18</f>
        <v>Номгӯи ташкилоти қарзӣ</v>
      </c>
      <c r="D2" s="204"/>
      <c r="E2" s="204"/>
      <c r="F2" s="204"/>
      <c r="G2" s="204"/>
      <c r="H2" s="204"/>
      <c r="I2" s="204"/>
      <c r="J2" s="204"/>
      <c r="K2" s="204"/>
      <c r="L2" s="204"/>
      <c r="M2" s="204"/>
    </row>
    <row r="3" spans="2:15" s="87" customFormat="1">
      <c r="B3" s="202"/>
      <c r="C3" s="207" t="str">
        <f>T!B10</f>
        <v>Ҳисобот дар санаи</v>
      </c>
      <c r="D3" s="204"/>
      <c r="E3" s="204"/>
      <c r="F3" s="204"/>
      <c r="G3" s="204"/>
      <c r="H3" s="204"/>
      <c r="I3" s="204"/>
      <c r="J3" s="204"/>
      <c r="K3" s="204"/>
      <c r="L3" s="204"/>
      <c r="M3" s="204"/>
    </row>
    <row r="4" spans="2:15" s="87" customFormat="1">
      <c r="B4" s="202"/>
      <c r="C4" s="648" t="str">
        <f>'List of Scedules'!B40</f>
        <v>ҶАДВАЛИ 20.01. ҚАРЗҲОИ ИСТЕЪМОЛӢ ВА ХУРД БО ПУЛИ МИЛЛӢ</v>
      </c>
      <c r="D4" s="204"/>
      <c r="E4" s="204"/>
      <c r="F4" s="204"/>
      <c r="G4" s="204"/>
      <c r="H4" s="204"/>
      <c r="I4" s="204"/>
      <c r="J4" s="204"/>
      <c r="K4" s="204"/>
      <c r="L4" s="204"/>
      <c r="M4" s="204"/>
    </row>
    <row r="5" spans="2:15">
      <c r="B5" s="211"/>
      <c r="C5" s="212"/>
      <c r="D5" s="213"/>
      <c r="E5" s="213"/>
      <c r="F5" s="213"/>
      <c r="G5" s="213"/>
      <c r="H5" s="214"/>
      <c r="I5" s="214"/>
      <c r="J5" s="214"/>
      <c r="K5" s="214"/>
      <c r="L5" s="214"/>
      <c r="M5" s="214"/>
    </row>
    <row r="6" spans="2:15" ht="54">
      <c r="B6" s="191"/>
      <c r="C6" s="240" t="s">
        <v>1659</v>
      </c>
      <c r="D6" s="240" t="s">
        <v>1268</v>
      </c>
      <c r="E6" s="999" t="s">
        <v>2210</v>
      </c>
      <c r="F6" s="999" t="s">
        <v>1683</v>
      </c>
      <c r="G6" s="1000" t="s">
        <v>2199</v>
      </c>
      <c r="H6" s="999" t="s">
        <v>2084</v>
      </c>
      <c r="I6" s="1000" t="s">
        <v>2199</v>
      </c>
      <c r="J6" s="999" t="s">
        <v>1684</v>
      </c>
      <c r="K6" s="1000" t="s">
        <v>2200</v>
      </c>
      <c r="L6" s="999" t="s">
        <v>1097</v>
      </c>
      <c r="M6" s="1000" t="s">
        <v>2200</v>
      </c>
      <c r="N6" s="999" t="s">
        <v>1750</v>
      </c>
      <c r="O6" s="1000" t="s">
        <v>2200</v>
      </c>
    </row>
    <row r="7" spans="2:15" s="649" customFormat="1">
      <c r="B7" s="640"/>
      <c r="C7" s="194">
        <v>1</v>
      </c>
      <c r="D7" s="240">
        <v>2</v>
      </c>
      <c r="E7" s="240">
        <v>3</v>
      </c>
      <c r="F7" s="240">
        <v>4</v>
      </c>
      <c r="G7" s="241">
        <v>5</v>
      </c>
      <c r="H7" s="240">
        <v>6</v>
      </c>
      <c r="I7" s="240">
        <v>7</v>
      </c>
      <c r="J7" s="240">
        <v>8</v>
      </c>
      <c r="K7" s="240">
        <v>9</v>
      </c>
      <c r="L7" s="240">
        <v>10</v>
      </c>
      <c r="M7" s="240">
        <v>11</v>
      </c>
      <c r="N7" s="240">
        <v>12</v>
      </c>
      <c r="O7" s="240">
        <v>13</v>
      </c>
    </row>
    <row r="8" spans="2:15">
      <c r="B8" s="641" t="s">
        <v>600</v>
      </c>
      <c r="C8" s="642" t="s">
        <v>904</v>
      </c>
      <c r="D8" s="246">
        <f>+F8+H8+J8+L8+N8</f>
        <v>0</v>
      </c>
      <c r="E8" s="246">
        <f>+G8+I8+K8+M8+O8</f>
        <v>0</v>
      </c>
      <c r="F8" s="246">
        <f t="shared" ref="F8:O8" si="0">SUM(F9:F12)</f>
        <v>0</v>
      </c>
      <c r="G8" s="246">
        <f>SUM(G9:G12)</f>
        <v>0</v>
      </c>
      <c r="H8" s="246">
        <f t="shared" si="0"/>
        <v>0</v>
      </c>
      <c r="I8" s="246">
        <f t="shared" si="0"/>
        <v>0</v>
      </c>
      <c r="J8" s="246">
        <f t="shared" si="0"/>
        <v>0</v>
      </c>
      <c r="K8" s="246">
        <f t="shared" si="0"/>
        <v>0</v>
      </c>
      <c r="L8" s="246">
        <f t="shared" si="0"/>
        <v>0</v>
      </c>
      <c r="M8" s="246">
        <f t="shared" si="0"/>
        <v>0</v>
      </c>
      <c r="N8" s="246">
        <f t="shared" si="0"/>
        <v>0</v>
      </c>
      <c r="O8" s="246">
        <f t="shared" si="0"/>
        <v>0</v>
      </c>
    </row>
    <row r="9" spans="2:15">
      <c r="B9" s="641" t="s">
        <v>601</v>
      </c>
      <c r="C9" s="643" t="s">
        <v>1735</v>
      </c>
      <c r="D9" s="246">
        <f t="shared" ref="D9:E24" si="1">+F9+H9+J9+L9+N9</f>
        <v>0</v>
      </c>
      <c r="E9" s="246">
        <f t="shared" si="1"/>
        <v>0</v>
      </c>
      <c r="F9" s="9"/>
      <c r="G9" s="9"/>
      <c r="H9" s="9"/>
      <c r="I9" s="9"/>
      <c r="J9" s="9"/>
      <c r="K9" s="9"/>
      <c r="L9" s="9"/>
      <c r="M9" s="9"/>
      <c r="N9" s="9"/>
      <c r="O9" s="9"/>
    </row>
    <row r="10" spans="2:15">
      <c r="B10" s="641" t="s">
        <v>602</v>
      </c>
      <c r="C10" s="643" t="s">
        <v>905</v>
      </c>
      <c r="D10" s="246">
        <f t="shared" si="1"/>
        <v>0</v>
      </c>
      <c r="E10" s="246">
        <f t="shared" si="1"/>
        <v>0</v>
      </c>
      <c r="F10" s="9"/>
      <c r="G10" s="9"/>
      <c r="H10" s="9"/>
      <c r="I10" s="633"/>
      <c r="J10" s="633"/>
      <c r="K10" s="633"/>
      <c r="L10" s="633"/>
      <c r="M10" s="633"/>
      <c r="N10" s="633"/>
      <c r="O10" s="633"/>
    </row>
    <row r="11" spans="2:15">
      <c r="B11" s="641" t="s">
        <v>603</v>
      </c>
      <c r="C11" s="643" t="s">
        <v>906</v>
      </c>
      <c r="D11" s="246">
        <f t="shared" si="1"/>
        <v>0</v>
      </c>
      <c r="E11" s="246">
        <f t="shared" si="1"/>
        <v>0</v>
      </c>
      <c r="F11" s="9"/>
      <c r="G11" s="9"/>
      <c r="H11" s="9"/>
      <c r="I11" s="633"/>
      <c r="J11" s="633"/>
      <c r="K11" s="633"/>
      <c r="L11" s="633"/>
      <c r="M11" s="633"/>
      <c r="N11" s="633"/>
      <c r="O11" s="633"/>
    </row>
    <row r="12" spans="2:15">
      <c r="B12" s="641" t="s">
        <v>604</v>
      </c>
      <c r="C12" s="643" t="s">
        <v>907</v>
      </c>
      <c r="D12" s="246">
        <f t="shared" si="1"/>
        <v>0</v>
      </c>
      <c r="E12" s="246">
        <f t="shared" si="1"/>
        <v>0</v>
      </c>
      <c r="F12" s="9"/>
      <c r="G12" s="9"/>
      <c r="H12" s="9"/>
      <c r="I12" s="633"/>
      <c r="J12" s="633"/>
      <c r="K12" s="633"/>
      <c r="L12" s="633"/>
      <c r="M12" s="633"/>
      <c r="N12" s="633"/>
      <c r="O12" s="633"/>
    </row>
    <row r="13" spans="2:15">
      <c r="B13" s="641" t="s">
        <v>605</v>
      </c>
      <c r="C13" s="644" t="s">
        <v>908</v>
      </c>
      <c r="D13" s="246">
        <f t="shared" si="1"/>
        <v>0</v>
      </c>
      <c r="E13" s="246">
        <f t="shared" si="1"/>
        <v>0</v>
      </c>
      <c r="F13" s="645">
        <f>F14+F15</f>
        <v>0</v>
      </c>
      <c r="G13" s="645">
        <f>G14+G15</f>
        <v>0</v>
      </c>
      <c r="H13" s="645">
        <f t="shared" ref="H13:O13" si="2">H14+H15</f>
        <v>0</v>
      </c>
      <c r="I13" s="645">
        <f t="shared" si="2"/>
        <v>0</v>
      </c>
      <c r="J13" s="645">
        <f t="shared" si="2"/>
        <v>0</v>
      </c>
      <c r="K13" s="645">
        <f t="shared" si="2"/>
        <v>0</v>
      </c>
      <c r="L13" s="645">
        <f t="shared" si="2"/>
        <v>0</v>
      </c>
      <c r="M13" s="645">
        <f t="shared" si="2"/>
        <v>0</v>
      </c>
      <c r="N13" s="645">
        <f t="shared" si="2"/>
        <v>0</v>
      </c>
      <c r="O13" s="645">
        <f t="shared" si="2"/>
        <v>0</v>
      </c>
    </row>
    <row r="14" spans="2:15">
      <c r="B14" s="641" t="s">
        <v>606</v>
      </c>
      <c r="C14" s="646" t="s">
        <v>1734</v>
      </c>
      <c r="D14" s="246">
        <f t="shared" si="1"/>
        <v>0</v>
      </c>
      <c r="E14" s="246">
        <f t="shared" si="1"/>
        <v>0</v>
      </c>
      <c r="F14" s="9"/>
      <c r="G14" s="9"/>
      <c r="H14" s="9"/>
      <c r="I14" s="9"/>
      <c r="J14" s="9"/>
      <c r="K14" s="9"/>
      <c r="L14" s="9"/>
      <c r="M14" s="9"/>
      <c r="N14" s="9"/>
      <c r="O14" s="9"/>
    </row>
    <row r="15" spans="2:15">
      <c r="B15" s="641" t="s">
        <v>607</v>
      </c>
      <c r="C15" s="644" t="s">
        <v>1470</v>
      </c>
      <c r="D15" s="246">
        <f t="shared" si="1"/>
        <v>0</v>
      </c>
      <c r="E15" s="246">
        <f t="shared" si="1"/>
        <v>0</v>
      </c>
      <c r="F15" s="645">
        <f>F16+F22</f>
        <v>0</v>
      </c>
      <c r="G15" s="645">
        <f t="shared" ref="G15:O15" si="3">G16+G22</f>
        <v>0</v>
      </c>
      <c r="H15" s="645">
        <f t="shared" si="3"/>
        <v>0</v>
      </c>
      <c r="I15" s="645">
        <f t="shared" si="3"/>
        <v>0</v>
      </c>
      <c r="J15" s="645">
        <f t="shared" si="3"/>
        <v>0</v>
      </c>
      <c r="K15" s="645">
        <f t="shared" si="3"/>
        <v>0</v>
      </c>
      <c r="L15" s="645">
        <f t="shared" si="3"/>
        <v>0</v>
      </c>
      <c r="M15" s="645">
        <f t="shared" si="3"/>
        <v>0</v>
      </c>
      <c r="N15" s="645">
        <f t="shared" si="3"/>
        <v>0</v>
      </c>
      <c r="O15" s="645">
        <f t="shared" si="3"/>
        <v>0</v>
      </c>
    </row>
    <row r="16" spans="2:15">
      <c r="B16" s="641" t="s">
        <v>608</v>
      </c>
      <c r="C16" s="647" t="s">
        <v>1788</v>
      </c>
      <c r="D16" s="246">
        <f t="shared" si="1"/>
        <v>0</v>
      </c>
      <c r="E16" s="246">
        <f t="shared" si="1"/>
        <v>0</v>
      </c>
      <c r="F16" s="246">
        <f>SUM(F17:F21)</f>
        <v>0</v>
      </c>
      <c r="G16" s="246">
        <f t="shared" ref="G16:O16" si="4">SUM(G17:G21)</f>
        <v>0</v>
      </c>
      <c r="H16" s="246">
        <f t="shared" si="4"/>
        <v>0</v>
      </c>
      <c r="I16" s="246">
        <f t="shared" si="4"/>
        <v>0</v>
      </c>
      <c r="J16" s="246">
        <f t="shared" si="4"/>
        <v>0</v>
      </c>
      <c r="K16" s="246">
        <f t="shared" si="4"/>
        <v>0</v>
      </c>
      <c r="L16" s="246">
        <f t="shared" si="4"/>
        <v>0</v>
      </c>
      <c r="M16" s="246">
        <f t="shared" si="4"/>
        <v>0</v>
      </c>
      <c r="N16" s="246">
        <f t="shared" si="4"/>
        <v>0</v>
      </c>
      <c r="O16" s="246">
        <f t="shared" si="4"/>
        <v>0</v>
      </c>
    </row>
    <row r="17" spans="2:15">
      <c r="B17" s="641" t="s">
        <v>609</v>
      </c>
      <c r="C17" s="8" t="s">
        <v>1469</v>
      </c>
      <c r="D17" s="246">
        <f t="shared" si="1"/>
        <v>0</v>
      </c>
      <c r="E17" s="246">
        <f t="shared" si="1"/>
        <v>0</v>
      </c>
      <c r="F17" s="633">
        <v>0</v>
      </c>
      <c r="G17" s="633">
        <v>0</v>
      </c>
      <c r="H17" s="633">
        <v>0</v>
      </c>
      <c r="I17" s="633">
        <v>0</v>
      </c>
      <c r="J17" s="633">
        <v>0</v>
      </c>
      <c r="K17" s="633">
        <v>0</v>
      </c>
      <c r="L17" s="633">
        <v>0</v>
      </c>
      <c r="M17" s="633">
        <v>0</v>
      </c>
      <c r="N17" s="633">
        <v>0</v>
      </c>
      <c r="O17" s="633">
        <v>0</v>
      </c>
    </row>
    <row r="18" spans="2:15">
      <c r="B18" s="641" t="s">
        <v>610</v>
      </c>
      <c r="C18" s="646" t="s">
        <v>909</v>
      </c>
      <c r="D18" s="246">
        <f t="shared" si="1"/>
        <v>0</v>
      </c>
      <c r="E18" s="246">
        <f t="shared" si="1"/>
        <v>0</v>
      </c>
      <c r="F18" s="633">
        <v>0</v>
      </c>
      <c r="G18" s="633">
        <v>0</v>
      </c>
      <c r="H18" s="633">
        <v>0</v>
      </c>
      <c r="I18" s="633">
        <v>0</v>
      </c>
      <c r="J18" s="633">
        <v>0</v>
      </c>
      <c r="K18" s="633">
        <v>0</v>
      </c>
      <c r="L18" s="633">
        <v>0</v>
      </c>
      <c r="M18" s="633">
        <v>0</v>
      </c>
      <c r="N18" s="633">
        <v>0</v>
      </c>
      <c r="O18" s="633">
        <v>0</v>
      </c>
    </row>
    <row r="19" spans="2:15">
      <c r="B19" s="641" t="s">
        <v>611</v>
      </c>
      <c r="C19" s="646" t="s">
        <v>1262</v>
      </c>
      <c r="D19" s="246">
        <f t="shared" si="1"/>
        <v>0</v>
      </c>
      <c r="E19" s="246">
        <f t="shared" si="1"/>
        <v>0</v>
      </c>
      <c r="F19" s="633">
        <v>0</v>
      </c>
      <c r="G19" s="633">
        <v>0</v>
      </c>
      <c r="H19" s="633">
        <v>0</v>
      </c>
      <c r="I19" s="633">
        <v>0</v>
      </c>
      <c r="J19" s="633">
        <v>0</v>
      </c>
      <c r="K19" s="633">
        <v>0</v>
      </c>
      <c r="L19" s="633">
        <v>0</v>
      </c>
      <c r="M19" s="633">
        <v>0</v>
      </c>
      <c r="N19" s="633">
        <v>0</v>
      </c>
      <c r="O19" s="633">
        <v>0</v>
      </c>
    </row>
    <row r="20" spans="2:15">
      <c r="B20" s="641" t="s">
        <v>81</v>
      </c>
      <c r="C20" s="769" t="s">
        <v>1404</v>
      </c>
      <c r="D20" s="246">
        <f t="shared" si="1"/>
        <v>0</v>
      </c>
      <c r="E20" s="246">
        <f t="shared" si="1"/>
        <v>0</v>
      </c>
      <c r="F20" s="633">
        <v>0</v>
      </c>
      <c r="G20" s="633">
        <v>0</v>
      </c>
      <c r="H20" s="633">
        <v>0</v>
      </c>
      <c r="I20" s="633">
        <v>0</v>
      </c>
      <c r="J20" s="633">
        <v>0</v>
      </c>
      <c r="K20" s="633">
        <v>0</v>
      </c>
      <c r="L20" s="633">
        <v>0</v>
      </c>
      <c r="M20" s="633">
        <v>0</v>
      </c>
      <c r="N20" s="633">
        <v>0</v>
      </c>
      <c r="O20" s="633">
        <v>0</v>
      </c>
    </row>
    <row r="21" spans="2:15">
      <c r="B21" s="641" t="s">
        <v>82</v>
      </c>
      <c r="C21" s="646" t="s">
        <v>910</v>
      </c>
      <c r="D21" s="246">
        <f t="shared" si="1"/>
        <v>0</v>
      </c>
      <c r="E21" s="246">
        <f t="shared" si="1"/>
        <v>0</v>
      </c>
      <c r="F21" s="633">
        <v>0</v>
      </c>
      <c r="G21" s="633">
        <v>0</v>
      </c>
      <c r="H21" s="633">
        <v>0</v>
      </c>
      <c r="I21" s="633">
        <v>0</v>
      </c>
      <c r="J21" s="633">
        <v>0</v>
      </c>
      <c r="K21" s="633">
        <v>0</v>
      </c>
      <c r="L21" s="633">
        <v>0</v>
      </c>
      <c r="M21" s="633">
        <v>0</v>
      </c>
      <c r="N21" s="633">
        <v>0</v>
      </c>
      <c r="O21" s="633">
        <v>0</v>
      </c>
    </row>
    <row r="22" spans="2:15">
      <c r="B22" s="641" t="s">
        <v>83</v>
      </c>
      <c r="C22" s="647" t="s">
        <v>911</v>
      </c>
      <c r="D22" s="246">
        <f t="shared" si="1"/>
        <v>0</v>
      </c>
      <c r="E22" s="246">
        <f t="shared" si="1"/>
        <v>0</v>
      </c>
      <c r="F22" s="246">
        <f>SUM(F23:F27)</f>
        <v>0</v>
      </c>
      <c r="G22" s="246">
        <f t="shared" ref="G22:O22" si="5">SUM(G23:G27)</f>
        <v>0</v>
      </c>
      <c r="H22" s="246">
        <f t="shared" si="5"/>
        <v>0</v>
      </c>
      <c r="I22" s="246">
        <f t="shared" si="5"/>
        <v>0</v>
      </c>
      <c r="J22" s="246">
        <f t="shared" si="5"/>
        <v>0</v>
      </c>
      <c r="K22" s="246">
        <f t="shared" si="5"/>
        <v>0</v>
      </c>
      <c r="L22" s="246">
        <f t="shared" si="5"/>
        <v>0</v>
      </c>
      <c r="M22" s="246">
        <f t="shared" si="5"/>
        <v>0</v>
      </c>
      <c r="N22" s="246">
        <f t="shared" si="5"/>
        <v>0</v>
      </c>
      <c r="O22" s="246">
        <f t="shared" si="5"/>
        <v>0</v>
      </c>
    </row>
    <row r="23" spans="2:15">
      <c r="B23" s="641" t="s">
        <v>84</v>
      </c>
      <c r="C23" s="8" t="s">
        <v>1469</v>
      </c>
      <c r="D23" s="246">
        <f t="shared" si="1"/>
        <v>0</v>
      </c>
      <c r="E23" s="246">
        <f t="shared" si="1"/>
        <v>0</v>
      </c>
      <c r="F23" s="9"/>
      <c r="G23" s="9"/>
      <c r="H23" s="9"/>
      <c r="I23" s="9"/>
      <c r="J23" s="9"/>
      <c r="K23" s="9"/>
      <c r="L23" s="9"/>
      <c r="M23" s="9"/>
      <c r="N23" s="9"/>
      <c r="O23" s="9"/>
    </row>
    <row r="24" spans="2:15">
      <c r="B24" s="641" t="s">
        <v>85</v>
      </c>
      <c r="C24" s="646" t="s">
        <v>909</v>
      </c>
      <c r="D24" s="246">
        <f t="shared" si="1"/>
        <v>0</v>
      </c>
      <c r="E24" s="246">
        <f t="shared" si="1"/>
        <v>0</v>
      </c>
      <c r="F24" s="9"/>
      <c r="G24" s="9"/>
      <c r="H24" s="9"/>
      <c r="I24" s="9"/>
      <c r="J24" s="9"/>
      <c r="K24" s="9"/>
      <c r="L24" s="9"/>
      <c r="M24" s="9"/>
      <c r="N24" s="9"/>
      <c r="O24" s="9"/>
    </row>
    <row r="25" spans="2:15">
      <c r="B25" s="641" t="s">
        <v>86</v>
      </c>
      <c r="C25" s="646" t="s">
        <v>1262</v>
      </c>
      <c r="D25" s="246">
        <f t="shared" ref="D25:E27" si="6">+F25+H25+J25+L25+N25</f>
        <v>0</v>
      </c>
      <c r="E25" s="246">
        <f t="shared" si="6"/>
        <v>0</v>
      </c>
      <c r="F25" s="9"/>
      <c r="G25" s="9"/>
      <c r="H25" s="9"/>
      <c r="I25" s="9"/>
      <c r="J25" s="9"/>
      <c r="K25" s="9"/>
      <c r="L25" s="9"/>
      <c r="M25" s="9"/>
      <c r="N25" s="9"/>
      <c r="O25" s="9"/>
    </row>
    <row r="26" spans="2:15">
      <c r="B26" s="641" t="s">
        <v>87</v>
      </c>
      <c r="C26" s="769" t="s">
        <v>1404</v>
      </c>
      <c r="D26" s="246">
        <f t="shared" si="6"/>
        <v>0</v>
      </c>
      <c r="E26" s="246">
        <f t="shared" si="6"/>
        <v>0</v>
      </c>
      <c r="F26" s="9"/>
      <c r="G26" s="9"/>
      <c r="H26" s="9"/>
      <c r="I26" s="9"/>
      <c r="J26" s="9"/>
      <c r="K26" s="9"/>
      <c r="L26" s="9"/>
      <c r="M26" s="9"/>
      <c r="N26" s="9"/>
      <c r="O26" s="9"/>
    </row>
    <row r="27" spans="2:15">
      <c r="B27" s="641" t="s">
        <v>88</v>
      </c>
      <c r="C27" s="646" t="s">
        <v>910</v>
      </c>
      <c r="D27" s="246">
        <f t="shared" si="6"/>
        <v>0</v>
      </c>
      <c r="E27" s="246">
        <f t="shared" si="6"/>
        <v>0</v>
      </c>
      <c r="F27" s="9"/>
      <c r="G27" s="9"/>
      <c r="H27" s="633"/>
      <c r="I27" s="633"/>
      <c r="J27" s="9"/>
      <c r="K27" s="9"/>
      <c r="L27" s="9"/>
      <c r="M27" s="9"/>
      <c r="N27" s="9"/>
      <c r="O27" s="9"/>
    </row>
    <row r="28" spans="2:15">
      <c r="B28" s="650"/>
      <c r="C28" s="651"/>
      <c r="D28" s="652"/>
      <c r="E28" s="652"/>
      <c r="F28" s="653"/>
      <c r="G28" s="654"/>
      <c r="H28" s="653"/>
      <c r="I28" s="653"/>
      <c r="J28" s="653"/>
      <c r="K28" s="653"/>
      <c r="L28" s="653"/>
      <c r="M28" s="653"/>
      <c r="N28" s="653"/>
    </row>
  </sheetData>
  <sheetProtection password="E9D4" sheet="1" objects="1" scenarios="1"/>
  <customSheetViews>
    <customSheetView guid="{871F8275-217B-436F-8813-871F820F0EE4}" scale="85" showPageBreaks="1" showGridLines="0" fitToPage="1" view="pageBreakPreview">
      <selection activeCell="E27" sqref="E27"/>
      <pageMargins left="0.19685039370078741" right="0.19685039370078741" top="0.39370078740157483" bottom="0.39370078740157483" header="0.19685039370078741" footer="0.19685039370078741"/>
      <pageSetup paperSize="9" scale="60" orientation="landscape" r:id="rId1"/>
      <headerFooter alignWithMargins="0">
        <oddFooter>&amp;L&amp;7&amp;D&amp;C&amp;7&amp;P&amp;R&amp;7&amp;F</oddFooter>
      </headerFooter>
    </customSheetView>
    <customSheetView guid="{2EBF18CB-80C9-43ED-A978-2AAEAC40933E}" scale="75" showGridLines="0" fitToPage="1" showRuler="0" topLeftCell="A5">
      <selection activeCell="L20" sqref="L20"/>
      <pageMargins left="0.19685039370078741" right="0.19685039370078741" top="0.39370078740157483" bottom="0.39370078740157483" header="0.19685039370078741" footer="0.19685039370078741"/>
      <pageSetup paperSize="9" scale="60" orientation="landscape" r:id="rId2"/>
      <headerFooter alignWithMargins="0">
        <oddFooter>&amp;L&amp;7&amp;D&amp;C&amp;7&amp;P&amp;R&amp;7&amp;F</oddFooter>
      </headerFooter>
    </customSheetView>
    <customSheetView guid="{47D3AB49-9599-4A16-951B-F48FEC1C0136}" scale="75" showGridLines="0" fitToPage="1">
      <selection activeCell="O14" sqref="O14"/>
      <pageMargins left="0.19685039370078741" right="0.19685039370078741" top="0.39370078740157483" bottom="0.39370078740157483" header="0.19685039370078741" footer="0.19685039370078741"/>
      <pageSetup paperSize="9" scale="60" orientation="landscape" r:id="rId3"/>
      <headerFooter alignWithMargins="0">
        <oddFooter>&amp;L&amp;7&amp;D&amp;C&amp;7&amp;P&amp;R&amp;7&amp;F</oddFooter>
      </headerFooter>
    </customSheetView>
    <customSheetView guid="{ECE607A2-8A26-46E0-8BDC-E9AD788F604C}" scale="85" showPageBreaks="1" showGridLines="0" fitToPage="1" view="pageBreakPreview">
      <selection activeCell="D13" sqref="D13"/>
      <pageMargins left="0.19685039370078741" right="0.19685039370078741" top="0.39370078740157483" bottom="0.39370078740157483" header="0.19685039370078741" footer="0.19685039370078741"/>
      <pageSetup paperSize="9" scale="60" orientation="landscape" r:id="rId4"/>
      <headerFooter alignWithMargins="0">
        <oddFooter>&amp;L&amp;7&amp;D&amp;C&amp;7&amp;P&amp;R&amp;7&amp;F</oddFooter>
      </headerFooter>
    </customSheetView>
    <customSheetView guid="{FB1E0752-409C-4E7D-BCFE-7AEBEB8B5F0D}" scale="85" showPageBreaks="1" showGridLines="0" fitToPage="1" view="pageBreakPreview">
      <selection activeCell="E20" sqref="E20"/>
      <pageMargins left="0.19685039370078741" right="0.19685039370078741" top="0.39370078740157483" bottom="0.39370078740157483" header="0.19685039370078741" footer="0.19685039370078741"/>
      <pageSetup paperSize="9" scale="60" orientation="landscape" r:id="rId5"/>
      <headerFooter alignWithMargins="0">
        <oddFooter>&amp;L&amp;7&amp;D&amp;C&amp;7&amp;P&amp;R&amp;7&amp;F</oddFooter>
      </headerFooter>
    </customSheetView>
  </customSheetViews>
  <mergeCells count="1">
    <mergeCell ref="M1:O1"/>
  </mergeCells>
  <phoneticPr fontId="0" type="noConversion"/>
  <pageMargins left="0.19685039370078741" right="0.19685039370078741" top="0.39370078740157483" bottom="0.39370078740157483" header="0.19685039370078741" footer="0.19685039370078741"/>
  <pageSetup paperSize="9" scale="60" orientation="landscape" r:id="rId6"/>
  <headerFooter alignWithMargins="0">
    <oddFooter>&amp;L&amp;7&amp;D&amp;C&amp;7&amp;P&amp;R&amp;7&amp;F</oddFooter>
  </headerFooter>
</worksheet>
</file>

<file path=xl/worksheets/sheet42.xml><?xml version="1.0" encoding="utf-8"?>
<worksheet xmlns="http://schemas.openxmlformats.org/spreadsheetml/2006/main" xmlns:r="http://schemas.openxmlformats.org/officeDocument/2006/relationships">
  <sheetPr codeName="Лист41"/>
  <dimension ref="B1:O28"/>
  <sheetViews>
    <sheetView workbookViewId="0">
      <selection activeCell="G14" sqref="G14"/>
    </sheetView>
  </sheetViews>
  <sheetFormatPr defaultRowHeight="18"/>
  <cols>
    <col min="1" max="1" width="1" style="91" customWidth="1"/>
    <col min="2" max="2" width="10.42578125" style="91" bestFit="1" customWidth="1"/>
    <col min="3" max="3" width="32.28515625" style="91" customWidth="1"/>
    <col min="4" max="15" width="16.7109375" style="91" customWidth="1"/>
    <col min="16" max="16384" width="9.140625" style="91"/>
  </cols>
  <sheetData>
    <row r="1" spans="2:15" s="87" customFormat="1" ht="34.5" customHeight="1">
      <c r="B1" s="202"/>
      <c r="C1" s="203"/>
      <c r="D1" s="204"/>
      <c r="E1" s="204"/>
      <c r="F1" s="204"/>
      <c r="G1" s="204"/>
      <c r="H1" s="204"/>
      <c r="I1" s="204"/>
      <c r="J1" s="204"/>
      <c r="K1" s="204"/>
      <c r="M1" s="1189" t="s">
        <v>1877</v>
      </c>
      <c r="N1" s="1173"/>
      <c r="O1" s="1173"/>
    </row>
    <row r="2" spans="2:15" s="87" customFormat="1">
      <c r="B2" s="202"/>
      <c r="C2" s="39" t="str">
        <f>T!E18</f>
        <v>Номгӯи ташкилоти қарзӣ</v>
      </c>
      <c r="D2" s="204"/>
      <c r="E2" s="204"/>
      <c r="F2" s="204"/>
      <c r="G2" s="204"/>
      <c r="H2" s="204"/>
      <c r="I2" s="204"/>
      <c r="J2" s="204"/>
      <c r="K2" s="204"/>
      <c r="L2" s="204"/>
      <c r="M2" s="204"/>
    </row>
    <row r="3" spans="2:15" s="87" customFormat="1">
      <c r="B3" s="202"/>
      <c r="C3" s="207" t="str">
        <f>T!B10</f>
        <v>Ҳисобот дар санаи</v>
      </c>
      <c r="D3" s="204"/>
      <c r="E3" s="204"/>
      <c r="F3" s="204"/>
      <c r="G3" s="204"/>
      <c r="H3" s="204"/>
      <c r="I3" s="204"/>
      <c r="J3" s="204"/>
      <c r="K3" s="204"/>
      <c r="L3" s="204"/>
      <c r="M3" s="204"/>
    </row>
    <row r="4" spans="2:15" s="87" customFormat="1">
      <c r="B4" s="202"/>
      <c r="C4" s="648" t="str">
        <f>'List of Scedules'!B41</f>
        <v>ҶАДВАЛИ 20.02. ҚАРЗҲОИ ИСТЕЪМОЛӢ ВА ХУРД БО АСЪОРИ ХОРИҶӢ</v>
      </c>
      <c r="D4" s="204"/>
      <c r="E4" s="204"/>
      <c r="F4" s="204"/>
      <c r="G4" s="204"/>
      <c r="H4" s="204"/>
      <c r="I4" s="204"/>
      <c r="J4" s="204"/>
      <c r="K4" s="204"/>
      <c r="L4" s="204"/>
      <c r="M4" s="204"/>
    </row>
    <row r="5" spans="2:15">
      <c r="B5" s="211"/>
      <c r="C5" s="212"/>
      <c r="D5" s="213"/>
      <c r="E5" s="213"/>
      <c r="F5" s="213"/>
      <c r="G5" s="213"/>
      <c r="H5" s="214"/>
      <c r="I5" s="214"/>
      <c r="J5" s="214"/>
      <c r="K5" s="214"/>
      <c r="L5" s="214"/>
      <c r="M5" s="214"/>
    </row>
    <row r="6" spans="2:15" ht="54">
      <c r="B6" s="191"/>
      <c r="C6" s="240" t="s">
        <v>1659</v>
      </c>
      <c r="D6" s="240" t="s">
        <v>1268</v>
      </c>
      <c r="E6" s="999" t="s">
        <v>2210</v>
      </c>
      <c r="F6" s="999" t="s">
        <v>1683</v>
      </c>
      <c r="G6" s="1000" t="s">
        <v>2199</v>
      </c>
      <c r="H6" s="999" t="s">
        <v>2084</v>
      </c>
      <c r="I6" s="1000" t="s">
        <v>2199</v>
      </c>
      <c r="J6" s="999" t="s">
        <v>1684</v>
      </c>
      <c r="K6" s="1000" t="s">
        <v>2200</v>
      </c>
      <c r="L6" s="999" t="s">
        <v>1097</v>
      </c>
      <c r="M6" s="1000" t="s">
        <v>2200</v>
      </c>
      <c r="N6" s="999" t="s">
        <v>1750</v>
      </c>
      <c r="O6" s="1000" t="s">
        <v>2200</v>
      </c>
    </row>
    <row r="7" spans="2:15" s="649" customFormat="1">
      <c r="B7" s="640"/>
      <c r="C7" s="194">
        <v>1</v>
      </c>
      <c r="D7" s="240">
        <v>2</v>
      </c>
      <c r="E7" s="240">
        <v>3</v>
      </c>
      <c r="F7" s="240">
        <v>4</v>
      </c>
      <c r="G7" s="241">
        <v>5</v>
      </c>
      <c r="H7" s="240">
        <v>6</v>
      </c>
      <c r="I7" s="240">
        <v>7</v>
      </c>
      <c r="J7" s="240">
        <v>8</v>
      </c>
      <c r="K7" s="240">
        <v>9</v>
      </c>
      <c r="L7" s="240">
        <v>10</v>
      </c>
      <c r="M7" s="240">
        <v>11</v>
      </c>
      <c r="N7" s="240">
        <v>12</v>
      </c>
      <c r="O7" s="240">
        <v>13</v>
      </c>
    </row>
    <row r="8" spans="2:15">
      <c r="B8" s="641" t="s">
        <v>612</v>
      </c>
      <c r="C8" s="642" t="s">
        <v>904</v>
      </c>
      <c r="D8" s="246">
        <f>+F8+H8+J8+L8+N8</f>
        <v>0</v>
      </c>
      <c r="E8" s="246">
        <f>+G8+I8+K8+M8+O8</f>
        <v>0</v>
      </c>
      <c r="F8" s="246">
        <f t="shared" ref="F8:O8" si="0">SUM(F9:F12)</f>
        <v>0</v>
      </c>
      <c r="G8" s="246">
        <f t="shared" si="0"/>
        <v>0</v>
      </c>
      <c r="H8" s="246">
        <f t="shared" si="0"/>
        <v>0</v>
      </c>
      <c r="I8" s="246">
        <f t="shared" si="0"/>
        <v>0</v>
      </c>
      <c r="J8" s="246">
        <f t="shared" si="0"/>
        <v>0</v>
      </c>
      <c r="K8" s="246">
        <f t="shared" si="0"/>
        <v>0</v>
      </c>
      <c r="L8" s="246">
        <f t="shared" si="0"/>
        <v>0</v>
      </c>
      <c r="M8" s="246">
        <f t="shared" si="0"/>
        <v>0</v>
      </c>
      <c r="N8" s="246">
        <f t="shared" si="0"/>
        <v>0</v>
      </c>
      <c r="O8" s="246">
        <f t="shared" si="0"/>
        <v>0</v>
      </c>
    </row>
    <row r="9" spans="2:15">
      <c r="B9" s="641" t="s">
        <v>613</v>
      </c>
      <c r="C9" s="643" t="s">
        <v>1735</v>
      </c>
      <c r="D9" s="246">
        <f t="shared" ref="D9:E24" si="1">+F9+H9+J9+L9+N9</f>
        <v>0</v>
      </c>
      <c r="E9" s="246">
        <f t="shared" si="1"/>
        <v>0</v>
      </c>
      <c r="F9" s="9"/>
      <c r="G9" s="9"/>
      <c r="H9" s="9"/>
      <c r="I9" s="9"/>
      <c r="J9" s="9"/>
      <c r="K9" s="9"/>
      <c r="L9" s="9"/>
      <c r="M9" s="9"/>
      <c r="N9" s="9"/>
      <c r="O9" s="9"/>
    </row>
    <row r="10" spans="2:15">
      <c r="B10" s="641" t="s">
        <v>614</v>
      </c>
      <c r="C10" s="643" t="s">
        <v>905</v>
      </c>
      <c r="D10" s="246">
        <f t="shared" si="1"/>
        <v>0</v>
      </c>
      <c r="E10" s="246">
        <f t="shared" si="1"/>
        <v>0</v>
      </c>
      <c r="F10" s="9"/>
      <c r="G10" s="9"/>
      <c r="H10" s="9"/>
      <c r="I10" s="9"/>
      <c r="J10" s="9"/>
      <c r="K10" s="9"/>
      <c r="L10" s="9"/>
      <c r="M10" s="9"/>
      <c r="N10" s="9"/>
      <c r="O10" s="9"/>
    </row>
    <row r="11" spans="2:15">
      <c r="B11" s="641" t="s">
        <v>615</v>
      </c>
      <c r="C11" s="643" t="s">
        <v>906</v>
      </c>
      <c r="D11" s="246">
        <f t="shared" si="1"/>
        <v>0</v>
      </c>
      <c r="E11" s="246">
        <f t="shared" si="1"/>
        <v>0</v>
      </c>
      <c r="F11" s="9"/>
      <c r="G11" s="9"/>
      <c r="H11" s="9"/>
      <c r="I11" s="9"/>
      <c r="J11" s="9"/>
      <c r="K11" s="9"/>
      <c r="L11" s="9"/>
      <c r="M11" s="9"/>
      <c r="N11" s="9"/>
      <c r="O11" s="9"/>
    </row>
    <row r="12" spans="2:15">
      <c r="B12" s="641" t="s">
        <v>616</v>
      </c>
      <c r="C12" s="643" t="s">
        <v>907</v>
      </c>
      <c r="D12" s="246">
        <f t="shared" si="1"/>
        <v>0</v>
      </c>
      <c r="E12" s="246">
        <f t="shared" si="1"/>
        <v>0</v>
      </c>
      <c r="F12" s="9"/>
      <c r="G12" s="9"/>
      <c r="H12" s="9"/>
      <c r="I12" s="9"/>
      <c r="J12" s="9"/>
      <c r="K12" s="9"/>
      <c r="L12" s="9"/>
      <c r="M12" s="9"/>
      <c r="N12" s="9"/>
      <c r="O12" s="9"/>
    </row>
    <row r="13" spans="2:15">
      <c r="B13" s="641" t="s">
        <v>617</v>
      </c>
      <c r="C13" s="644" t="s">
        <v>908</v>
      </c>
      <c r="D13" s="246">
        <f t="shared" si="1"/>
        <v>0</v>
      </c>
      <c r="E13" s="246">
        <f t="shared" si="1"/>
        <v>0</v>
      </c>
      <c r="F13" s="645">
        <f>F14+F15</f>
        <v>0</v>
      </c>
      <c r="G13" s="645">
        <f>G14+G15</f>
        <v>0</v>
      </c>
      <c r="H13" s="645">
        <f t="shared" ref="H13:O13" si="2">H14+H15</f>
        <v>0</v>
      </c>
      <c r="I13" s="645">
        <f t="shared" si="2"/>
        <v>0</v>
      </c>
      <c r="J13" s="645">
        <f t="shared" si="2"/>
        <v>0</v>
      </c>
      <c r="K13" s="645">
        <f t="shared" si="2"/>
        <v>0</v>
      </c>
      <c r="L13" s="645">
        <f t="shared" si="2"/>
        <v>0</v>
      </c>
      <c r="M13" s="645">
        <f t="shared" si="2"/>
        <v>0</v>
      </c>
      <c r="N13" s="645">
        <f t="shared" si="2"/>
        <v>0</v>
      </c>
      <c r="O13" s="645">
        <f t="shared" si="2"/>
        <v>0</v>
      </c>
    </row>
    <row r="14" spans="2:15">
      <c r="B14" s="641" t="s">
        <v>618</v>
      </c>
      <c r="C14" s="646" t="s">
        <v>1734</v>
      </c>
      <c r="D14" s="246">
        <f t="shared" si="1"/>
        <v>0</v>
      </c>
      <c r="E14" s="246">
        <f t="shared" si="1"/>
        <v>0</v>
      </c>
      <c r="F14" s="9"/>
      <c r="G14" s="9"/>
      <c r="H14" s="9"/>
      <c r="I14" s="9"/>
      <c r="J14" s="9"/>
      <c r="K14" s="9"/>
      <c r="L14" s="9"/>
      <c r="M14" s="9"/>
      <c r="N14" s="9"/>
      <c r="O14" s="9"/>
    </row>
    <row r="15" spans="2:15">
      <c r="B15" s="641" t="s">
        <v>619</v>
      </c>
      <c r="C15" s="644" t="s">
        <v>1470</v>
      </c>
      <c r="D15" s="246">
        <f t="shared" si="1"/>
        <v>0</v>
      </c>
      <c r="E15" s="246">
        <f t="shared" si="1"/>
        <v>0</v>
      </c>
      <c r="F15" s="645">
        <f>F16+F22</f>
        <v>0</v>
      </c>
      <c r="G15" s="645">
        <f t="shared" ref="G15:O15" si="3">G16+G22</f>
        <v>0</v>
      </c>
      <c r="H15" s="645">
        <f t="shared" si="3"/>
        <v>0</v>
      </c>
      <c r="I15" s="645">
        <f t="shared" si="3"/>
        <v>0</v>
      </c>
      <c r="J15" s="645">
        <f t="shared" si="3"/>
        <v>0</v>
      </c>
      <c r="K15" s="645">
        <f t="shared" si="3"/>
        <v>0</v>
      </c>
      <c r="L15" s="645">
        <f t="shared" si="3"/>
        <v>0</v>
      </c>
      <c r="M15" s="645">
        <f t="shared" si="3"/>
        <v>0</v>
      </c>
      <c r="N15" s="645">
        <f t="shared" si="3"/>
        <v>0</v>
      </c>
      <c r="O15" s="645">
        <f t="shared" si="3"/>
        <v>0</v>
      </c>
    </row>
    <row r="16" spans="2:15">
      <c r="B16" s="641" t="s">
        <v>620</v>
      </c>
      <c r="C16" s="647" t="s">
        <v>1788</v>
      </c>
      <c r="D16" s="246">
        <f t="shared" si="1"/>
        <v>0</v>
      </c>
      <c r="E16" s="246">
        <f t="shared" si="1"/>
        <v>0</v>
      </c>
      <c r="F16" s="246">
        <f>SUM(F17:F21)</f>
        <v>0</v>
      </c>
      <c r="G16" s="246">
        <f t="shared" ref="G16:O16" si="4">SUM(G17:G21)</f>
        <v>0</v>
      </c>
      <c r="H16" s="246">
        <f t="shared" si="4"/>
        <v>0</v>
      </c>
      <c r="I16" s="246">
        <f t="shared" si="4"/>
        <v>0</v>
      </c>
      <c r="J16" s="246">
        <f t="shared" si="4"/>
        <v>0</v>
      </c>
      <c r="K16" s="246">
        <f t="shared" si="4"/>
        <v>0</v>
      </c>
      <c r="L16" s="246">
        <f t="shared" si="4"/>
        <v>0</v>
      </c>
      <c r="M16" s="246">
        <f t="shared" si="4"/>
        <v>0</v>
      </c>
      <c r="N16" s="246">
        <f t="shared" si="4"/>
        <v>0</v>
      </c>
      <c r="O16" s="246">
        <f t="shared" si="4"/>
        <v>0</v>
      </c>
    </row>
    <row r="17" spans="2:15">
      <c r="B17" s="641" t="s">
        <v>625</v>
      </c>
      <c r="C17" s="8" t="s">
        <v>1469</v>
      </c>
      <c r="D17" s="246">
        <f t="shared" si="1"/>
        <v>0</v>
      </c>
      <c r="E17" s="246">
        <f t="shared" si="1"/>
        <v>0</v>
      </c>
      <c r="F17" s="633"/>
      <c r="G17" s="633"/>
      <c r="H17" s="633"/>
      <c r="I17" s="633"/>
      <c r="J17" s="633"/>
      <c r="K17" s="633"/>
      <c r="L17" s="633"/>
      <c r="M17" s="633"/>
      <c r="N17" s="633"/>
      <c r="O17" s="633"/>
    </row>
    <row r="18" spans="2:15">
      <c r="B18" s="641" t="s">
        <v>626</v>
      </c>
      <c r="C18" s="646" t="s">
        <v>909</v>
      </c>
      <c r="D18" s="246">
        <f t="shared" si="1"/>
        <v>0</v>
      </c>
      <c r="E18" s="246">
        <f t="shared" si="1"/>
        <v>0</v>
      </c>
      <c r="F18" s="633"/>
      <c r="G18" s="633"/>
      <c r="H18" s="633"/>
      <c r="I18" s="633"/>
      <c r="J18" s="633"/>
      <c r="K18" s="633"/>
      <c r="L18" s="633"/>
      <c r="M18" s="633"/>
      <c r="N18" s="633"/>
      <c r="O18" s="633"/>
    </row>
    <row r="19" spans="2:15">
      <c r="B19" s="641" t="s">
        <v>627</v>
      </c>
      <c r="C19" s="646" t="s">
        <v>1262</v>
      </c>
      <c r="D19" s="246">
        <f t="shared" si="1"/>
        <v>0</v>
      </c>
      <c r="E19" s="246">
        <f t="shared" si="1"/>
        <v>0</v>
      </c>
      <c r="F19" s="633"/>
      <c r="G19" s="633"/>
      <c r="H19" s="633"/>
      <c r="I19" s="633"/>
      <c r="J19" s="633"/>
      <c r="K19" s="633"/>
      <c r="L19" s="633"/>
      <c r="M19" s="633"/>
      <c r="N19" s="633"/>
      <c r="O19" s="633"/>
    </row>
    <row r="20" spans="2:15">
      <c r="B20" s="641" t="s">
        <v>89</v>
      </c>
      <c r="C20" s="769" t="s">
        <v>1404</v>
      </c>
      <c r="D20" s="246">
        <f t="shared" si="1"/>
        <v>0</v>
      </c>
      <c r="E20" s="246">
        <f t="shared" si="1"/>
        <v>0</v>
      </c>
      <c r="F20" s="633"/>
      <c r="G20" s="633"/>
      <c r="H20" s="633"/>
      <c r="I20" s="633"/>
      <c r="J20" s="633"/>
      <c r="K20" s="633"/>
      <c r="L20" s="633"/>
      <c r="M20" s="633"/>
      <c r="N20" s="633"/>
      <c r="O20" s="633"/>
    </row>
    <row r="21" spans="2:15">
      <c r="B21" s="641" t="s">
        <v>90</v>
      </c>
      <c r="C21" s="646" t="s">
        <v>910</v>
      </c>
      <c r="D21" s="246">
        <f t="shared" si="1"/>
        <v>0</v>
      </c>
      <c r="E21" s="246">
        <f t="shared" si="1"/>
        <v>0</v>
      </c>
      <c r="F21" s="633"/>
      <c r="G21" s="633"/>
      <c r="H21" s="633"/>
      <c r="I21" s="633"/>
      <c r="J21" s="633"/>
      <c r="K21" s="633"/>
      <c r="L21" s="633"/>
      <c r="M21" s="633"/>
      <c r="N21" s="633"/>
      <c r="O21" s="633"/>
    </row>
    <row r="22" spans="2:15">
      <c r="B22" s="641" t="s">
        <v>94</v>
      </c>
      <c r="C22" s="647" t="s">
        <v>911</v>
      </c>
      <c r="D22" s="246">
        <f t="shared" si="1"/>
        <v>0</v>
      </c>
      <c r="E22" s="246">
        <f t="shared" si="1"/>
        <v>0</v>
      </c>
      <c r="F22" s="246">
        <f>SUM(F23:F27)</f>
        <v>0</v>
      </c>
      <c r="G22" s="246">
        <f t="shared" ref="G22:O22" si="5">SUM(G23:G27)</f>
        <v>0</v>
      </c>
      <c r="H22" s="246">
        <f t="shared" si="5"/>
        <v>0</v>
      </c>
      <c r="I22" s="246">
        <f t="shared" si="5"/>
        <v>0</v>
      </c>
      <c r="J22" s="246">
        <f t="shared" si="5"/>
        <v>0</v>
      </c>
      <c r="K22" s="246">
        <f t="shared" si="5"/>
        <v>0</v>
      </c>
      <c r="L22" s="246">
        <f t="shared" si="5"/>
        <v>0</v>
      </c>
      <c r="M22" s="246">
        <f t="shared" si="5"/>
        <v>0</v>
      </c>
      <c r="N22" s="246">
        <f t="shared" si="5"/>
        <v>0</v>
      </c>
      <c r="O22" s="246">
        <f t="shared" si="5"/>
        <v>0</v>
      </c>
    </row>
    <row r="23" spans="2:15">
      <c r="B23" s="641" t="s">
        <v>95</v>
      </c>
      <c r="C23" s="8" t="s">
        <v>1469</v>
      </c>
      <c r="D23" s="246">
        <f t="shared" si="1"/>
        <v>0</v>
      </c>
      <c r="E23" s="246">
        <f t="shared" si="1"/>
        <v>0</v>
      </c>
      <c r="F23" s="9"/>
      <c r="G23" s="9"/>
      <c r="H23" s="9"/>
      <c r="I23" s="9"/>
      <c r="J23" s="9"/>
      <c r="K23" s="9"/>
      <c r="L23" s="9"/>
      <c r="M23" s="9"/>
      <c r="N23" s="633"/>
      <c r="O23" s="633"/>
    </row>
    <row r="24" spans="2:15">
      <c r="B24" s="641" t="s">
        <v>96</v>
      </c>
      <c r="C24" s="646" t="s">
        <v>909</v>
      </c>
      <c r="D24" s="246">
        <f t="shared" si="1"/>
        <v>0</v>
      </c>
      <c r="E24" s="246">
        <f t="shared" si="1"/>
        <v>0</v>
      </c>
      <c r="F24" s="9"/>
      <c r="G24" s="9"/>
      <c r="H24" s="9"/>
      <c r="I24" s="9"/>
      <c r="J24" s="9"/>
      <c r="K24" s="9"/>
      <c r="L24" s="9"/>
      <c r="M24" s="9"/>
      <c r="N24" s="633"/>
      <c r="O24" s="633"/>
    </row>
    <row r="25" spans="2:15">
      <c r="B25" s="641" t="s">
        <v>97</v>
      </c>
      <c r="C25" s="646" t="s">
        <v>1262</v>
      </c>
      <c r="D25" s="246">
        <f t="shared" ref="D25:E27" si="6">+F25+H25+J25+L25+N25</f>
        <v>0</v>
      </c>
      <c r="E25" s="246">
        <f t="shared" si="6"/>
        <v>0</v>
      </c>
      <c r="F25" s="9"/>
      <c r="G25" s="9"/>
      <c r="H25" s="9"/>
      <c r="I25" s="9"/>
      <c r="J25" s="9"/>
      <c r="K25" s="9"/>
      <c r="L25" s="9"/>
      <c r="M25" s="9"/>
      <c r="N25" s="633"/>
      <c r="O25" s="633"/>
    </row>
    <row r="26" spans="2:15">
      <c r="B26" s="641" t="s">
        <v>98</v>
      </c>
      <c r="C26" s="769" t="s">
        <v>1404</v>
      </c>
      <c r="D26" s="246">
        <f t="shared" si="6"/>
        <v>0</v>
      </c>
      <c r="E26" s="246">
        <f t="shared" si="6"/>
        <v>0</v>
      </c>
      <c r="F26" s="9"/>
      <c r="G26" s="9"/>
      <c r="H26" s="9"/>
      <c r="I26" s="9"/>
      <c r="J26" s="9"/>
      <c r="K26" s="9"/>
      <c r="L26" s="9"/>
      <c r="M26" s="9"/>
      <c r="N26" s="633"/>
      <c r="O26" s="633"/>
    </row>
    <row r="27" spans="2:15">
      <c r="B27" s="641" t="s">
        <v>99</v>
      </c>
      <c r="C27" s="646" t="s">
        <v>910</v>
      </c>
      <c r="D27" s="246">
        <f t="shared" si="6"/>
        <v>0</v>
      </c>
      <c r="E27" s="246">
        <f t="shared" si="6"/>
        <v>0</v>
      </c>
      <c r="F27" s="487"/>
      <c r="G27" s="633"/>
      <c r="H27" s="633"/>
      <c r="I27" s="633"/>
      <c r="J27" s="633"/>
      <c r="K27" s="633"/>
      <c r="L27" s="633"/>
      <c r="M27" s="633"/>
      <c r="N27" s="633"/>
      <c r="O27" s="633"/>
    </row>
    <row r="28" spans="2:15">
      <c r="B28" s="650"/>
      <c r="C28" s="651"/>
      <c r="D28" s="652"/>
      <c r="E28" s="652"/>
      <c r="F28" s="653"/>
      <c r="G28" s="654"/>
      <c r="H28" s="653"/>
      <c r="I28" s="653"/>
      <c r="J28" s="653"/>
      <c r="K28" s="653"/>
      <c r="L28" s="653"/>
      <c r="M28" s="653"/>
      <c r="N28" s="653"/>
    </row>
  </sheetData>
  <sheetProtection password="E9D4" sheet="1" objects="1" scenarios="1"/>
  <customSheetViews>
    <customSheetView guid="{871F8275-217B-436F-8813-871F820F0EE4}" scale="85" showPageBreaks="1" showGridLines="0" view="pageBreakPreview">
      <selection activeCell="K20" sqref="K20"/>
      <pageMargins left="0.19685039370078741" right="0.19685039370078741" top="0.39370078740157483" bottom="0.39370078740157483" header="0.19685039370078741" footer="0.19685039370078741"/>
      <pageSetup paperSize="9" scale="60" orientation="landscape" r:id="rId1"/>
      <headerFooter alignWithMargins="0">
        <oddFooter>&amp;L&amp;7&amp;D&amp;C&amp;7&amp;P&amp;R&amp;7&amp;F</oddFooter>
      </headerFooter>
    </customSheetView>
    <customSheetView guid="{2EBF18CB-80C9-43ED-A978-2AAEAC40933E}" scale="75" showGridLines="0" showRuler="0" topLeftCell="A7">
      <selection activeCell="K22" sqref="K22"/>
      <pageMargins left="0.19685039370078741" right="0.19685039370078741" top="0.39370078740157483" bottom="0.39370078740157483" header="0.19685039370078741" footer="0.19685039370078741"/>
      <pageSetup paperSize="9" scale="60" orientation="landscape" r:id="rId2"/>
      <headerFooter alignWithMargins="0">
        <oddFooter>&amp;L&amp;7&amp;D&amp;C&amp;7&amp;P&amp;R&amp;7&amp;F</oddFooter>
      </headerFooter>
    </customSheetView>
    <customSheetView guid="{47D3AB49-9599-4A16-951B-F48FEC1C0136}" scale="75" showGridLines="0" topLeftCell="A4">
      <selection activeCell="F19" sqref="F19"/>
      <pageMargins left="0.19685039370078741" right="0.19685039370078741" top="0.39370078740157483" bottom="0.39370078740157483" header="0.19685039370078741" footer="0.19685039370078741"/>
      <pageSetup paperSize="9" scale="60" orientation="landscape" r:id="rId3"/>
      <headerFooter alignWithMargins="0">
        <oddFooter>&amp;L&amp;7&amp;D&amp;C&amp;7&amp;P&amp;R&amp;7&amp;F</oddFooter>
      </headerFooter>
    </customSheetView>
    <customSheetView guid="{ECE607A2-8A26-46E0-8BDC-E9AD788F604C}" scale="85" showPageBreaks="1" showGridLines="0" view="pageBreakPreview">
      <selection activeCell="D13" sqref="D13"/>
      <pageMargins left="0.19685039370078741" right="0.19685039370078741" top="0.39370078740157483" bottom="0.39370078740157483" header="0.19685039370078741" footer="0.19685039370078741"/>
      <pageSetup paperSize="9" scale="60" orientation="landscape" r:id="rId4"/>
      <headerFooter alignWithMargins="0">
        <oddFooter>&amp;L&amp;7&amp;D&amp;C&amp;7&amp;P&amp;R&amp;7&amp;F</oddFooter>
      </headerFooter>
    </customSheetView>
    <customSheetView guid="{FB1E0752-409C-4E7D-BCFE-7AEBEB8B5F0D}" scale="85" showPageBreaks="1" showGridLines="0" view="pageBreakPreview">
      <selection activeCell="N23" sqref="N23:O24"/>
      <pageMargins left="0.19685039370078741" right="0.19685039370078741" top="0.39370078740157483" bottom="0.39370078740157483" header="0.19685039370078741" footer="0.19685039370078741"/>
      <pageSetup paperSize="9" scale="60" orientation="landscape" r:id="rId5"/>
      <headerFooter alignWithMargins="0">
        <oddFooter>&amp;L&amp;7&amp;D&amp;C&amp;7&amp;P&amp;R&amp;7&amp;F</oddFooter>
      </headerFooter>
    </customSheetView>
  </customSheetViews>
  <mergeCells count="1">
    <mergeCell ref="M1:O1"/>
  </mergeCells>
  <phoneticPr fontId="0" type="noConversion"/>
  <pageMargins left="0.19685039370078741" right="0.19685039370078741" top="0.39370078740157483" bottom="0.39370078740157483" header="0.19685039370078741" footer="0.19685039370078741"/>
  <pageSetup paperSize="9" scale="59" orientation="landscape" r:id="rId6"/>
  <headerFooter alignWithMargins="0">
    <oddFooter>&amp;L&amp;7&amp;D&amp;C&amp;7&amp;P&amp;R&amp;7&amp;F</oddFooter>
  </headerFooter>
</worksheet>
</file>

<file path=xl/worksheets/sheet43.xml><?xml version="1.0" encoding="utf-8"?>
<worksheet xmlns="http://schemas.openxmlformats.org/spreadsheetml/2006/main" xmlns:r="http://schemas.openxmlformats.org/officeDocument/2006/relationships">
  <sheetPr codeName="Лист42"/>
  <dimension ref="B1:R47"/>
  <sheetViews>
    <sheetView zoomScale="85" zoomScaleNormal="85" workbookViewId="0">
      <selection activeCell="G10" sqref="G10"/>
    </sheetView>
  </sheetViews>
  <sheetFormatPr defaultRowHeight="15"/>
  <cols>
    <col min="1" max="1" width="2.28515625" style="334" customWidth="1"/>
    <col min="2" max="2" width="5.7109375" style="334" customWidth="1"/>
    <col min="3" max="3" width="31.28515625" style="334" customWidth="1"/>
    <col min="4" max="4" width="9.85546875" style="334" customWidth="1"/>
    <col min="5" max="5" width="16.42578125" style="334" bestFit="1" customWidth="1"/>
    <col min="6" max="6" width="12.28515625" style="334" customWidth="1"/>
    <col min="7" max="7" width="16.7109375" style="334" customWidth="1"/>
    <col min="8" max="8" width="16.28515625" style="334" customWidth="1"/>
    <col min="9" max="9" width="16.5703125" style="334" customWidth="1"/>
    <col min="10" max="10" width="17.140625" style="334" bestFit="1" customWidth="1"/>
    <col min="11" max="11" width="12.7109375" style="334" bestFit="1" customWidth="1"/>
    <col min="12" max="12" width="15.28515625" style="334" customWidth="1"/>
    <col min="13" max="13" width="10.7109375" style="334" bestFit="1" customWidth="1"/>
    <col min="14" max="14" width="15.140625" style="334" customWidth="1"/>
    <col min="15" max="15" width="14.7109375" style="334" customWidth="1"/>
    <col min="16" max="16" width="10.7109375" style="334" bestFit="1" customWidth="1"/>
    <col min="17" max="17" width="15.28515625" style="334" customWidth="1"/>
    <col min="18" max="16384" width="9.140625" style="334"/>
  </cols>
  <sheetData>
    <row r="1" spans="2:18" ht="29.25" customHeight="1">
      <c r="B1" s="332"/>
      <c r="C1" s="332"/>
      <c r="D1" s="333"/>
      <c r="E1" s="333"/>
      <c r="F1" s="333"/>
      <c r="G1" s="333"/>
      <c r="H1" s="332"/>
      <c r="I1" s="333"/>
      <c r="J1" s="333"/>
      <c r="K1" s="333"/>
      <c r="L1" s="87"/>
      <c r="M1" s="333"/>
      <c r="N1" s="1189" t="s">
        <v>1878</v>
      </c>
      <c r="O1" s="1173"/>
      <c r="P1" s="1173"/>
      <c r="Q1" s="1173"/>
      <c r="R1" s="87"/>
    </row>
    <row r="2" spans="2:18" ht="18">
      <c r="B2" s="335"/>
      <c r="C2" s="806" t="str">
        <f>T!E18</f>
        <v>Номгӯи ташкилоти қарзӣ</v>
      </c>
      <c r="D2" s="333"/>
      <c r="E2" s="333"/>
      <c r="F2" s="333"/>
      <c r="G2" s="333"/>
      <c r="H2" s="333"/>
      <c r="I2" s="333"/>
      <c r="J2" s="333"/>
      <c r="K2" s="333"/>
      <c r="L2" s="333"/>
      <c r="M2" s="333"/>
      <c r="N2" s="333"/>
      <c r="O2" s="333"/>
      <c r="P2" s="333"/>
      <c r="Q2" s="87"/>
      <c r="R2" s="87"/>
    </row>
    <row r="3" spans="2:18" ht="19.5">
      <c r="B3" s="333"/>
      <c r="C3" s="807" t="str">
        <f>T!B10</f>
        <v>Ҳисобот дар санаи</v>
      </c>
      <c r="D3" s="333"/>
      <c r="E3" s="333"/>
      <c r="F3" s="333"/>
      <c r="G3" s="333"/>
      <c r="H3" s="333"/>
      <c r="I3" s="333"/>
      <c r="J3" s="333"/>
      <c r="K3" s="333"/>
      <c r="L3" s="333"/>
      <c r="M3" s="337"/>
      <c r="N3" s="337"/>
      <c r="O3" s="337"/>
      <c r="P3" s="337"/>
      <c r="Q3" s="87"/>
      <c r="R3" s="87"/>
    </row>
    <row r="4" spans="2:18" ht="18">
      <c r="B4" s="338"/>
      <c r="C4" s="808" t="str">
        <f>'List of Scedules'!B42</f>
        <v>ҶАДВАЛИ 21.01. ҚАРЗҲО ВА ҶОЙГИРКУНИҲОИ ТАШКИЛОТҲОИ ҚАРЗИИ МОЛИЯВӢ</v>
      </c>
      <c r="D4" s="340"/>
      <c r="E4" s="341"/>
      <c r="F4" s="341"/>
      <c r="G4" s="341"/>
      <c r="H4" s="341"/>
      <c r="I4" s="341"/>
      <c r="J4" s="341"/>
      <c r="K4" s="341"/>
      <c r="L4" s="341"/>
      <c r="M4" s="341"/>
      <c r="N4" s="341"/>
      <c r="O4" s="341"/>
      <c r="P4" s="341"/>
      <c r="Q4" s="87"/>
      <c r="R4" s="87"/>
    </row>
    <row r="5" spans="2:18" ht="18">
      <c r="B5" s="341"/>
      <c r="C5" s="341"/>
      <c r="D5" s="341"/>
      <c r="E5" s="341"/>
      <c r="F5" s="341"/>
      <c r="G5" s="341"/>
      <c r="H5" s="341"/>
      <c r="I5" s="341"/>
      <c r="J5" s="341"/>
      <c r="K5" s="341"/>
      <c r="L5" s="341"/>
      <c r="M5" s="341"/>
      <c r="N5" s="341"/>
      <c r="O5" s="341"/>
      <c r="P5" s="341"/>
      <c r="Q5" s="87"/>
      <c r="R5" s="87"/>
    </row>
    <row r="6" spans="2:18" ht="18" customHeight="1">
      <c r="B6" s="1268" t="s">
        <v>1785</v>
      </c>
      <c r="C6" s="1269"/>
      <c r="D6" s="1272" t="s">
        <v>2320</v>
      </c>
      <c r="E6" s="1272"/>
      <c r="F6" s="1272"/>
      <c r="G6" s="1272"/>
      <c r="H6" s="1272"/>
      <c r="I6" s="1272"/>
      <c r="J6" s="1272"/>
      <c r="K6" s="1272"/>
      <c r="L6" s="1272"/>
      <c r="M6" s="1272"/>
      <c r="N6" s="1272"/>
      <c r="O6" s="1272"/>
      <c r="P6" s="1272"/>
      <c r="Q6" s="1272"/>
      <c r="R6" s="87"/>
    </row>
    <row r="7" spans="2:18" ht="72">
      <c r="B7" s="1270"/>
      <c r="C7" s="1271"/>
      <c r="D7" s="355" t="s">
        <v>1788</v>
      </c>
      <c r="E7" s="355" t="s">
        <v>1789</v>
      </c>
      <c r="F7" s="355" t="s">
        <v>1790</v>
      </c>
      <c r="G7" s="355" t="s">
        <v>1791</v>
      </c>
      <c r="H7" s="355" t="s">
        <v>1792</v>
      </c>
      <c r="I7" s="355" t="s">
        <v>1793</v>
      </c>
      <c r="J7" s="355" t="s">
        <v>1794</v>
      </c>
      <c r="K7" s="355" t="s">
        <v>1764</v>
      </c>
      <c r="L7" s="355" t="s">
        <v>1795</v>
      </c>
      <c r="M7" s="355" t="s">
        <v>1796</v>
      </c>
      <c r="N7" s="355" t="s">
        <v>1797</v>
      </c>
      <c r="O7" s="355" t="s">
        <v>1020</v>
      </c>
      <c r="P7" s="356" t="s">
        <v>1766</v>
      </c>
      <c r="Q7" s="889" t="s">
        <v>2038</v>
      </c>
      <c r="R7" s="87"/>
    </row>
    <row r="8" spans="2:18" ht="18">
      <c r="B8" s="357">
        <v>0</v>
      </c>
      <c r="C8" s="358" t="s">
        <v>1006</v>
      </c>
      <c r="D8" s="358" t="s">
        <v>1007</v>
      </c>
      <c r="E8" s="358" t="s">
        <v>1008</v>
      </c>
      <c r="F8" s="358" t="s">
        <v>1005</v>
      </c>
      <c r="G8" s="358" t="s">
        <v>1009</v>
      </c>
      <c r="H8" s="358" t="s">
        <v>1010</v>
      </c>
      <c r="I8" s="358" t="s">
        <v>1011</v>
      </c>
      <c r="J8" s="358" t="s">
        <v>1012</v>
      </c>
      <c r="K8" s="358" t="s">
        <v>1013</v>
      </c>
      <c r="L8" s="358" t="s">
        <v>1014</v>
      </c>
      <c r="M8" s="358" t="s">
        <v>1015</v>
      </c>
      <c r="N8" s="358" t="s">
        <v>1016</v>
      </c>
      <c r="O8" s="358" t="s">
        <v>1017</v>
      </c>
      <c r="P8" s="358" t="s">
        <v>1018</v>
      </c>
      <c r="Q8" s="358" t="s">
        <v>2039</v>
      </c>
      <c r="R8" s="87"/>
    </row>
    <row r="9" spans="2:18" ht="18">
      <c r="B9" s="359" t="s">
        <v>888</v>
      </c>
      <c r="C9" s="359">
        <v>1</v>
      </c>
      <c r="D9" s="359">
        <v>2</v>
      </c>
      <c r="E9" s="359">
        <v>3</v>
      </c>
      <c r="F9" s="359">
        <v>4</v>
      </c>
      <c r="G9" s="359">
        <v>5</v>
      </c>
      <c r="H9" s="359">
        <v>6</v>
      </c>
      <c r="I9" s="359">
        <v>7</v>
      </c>
      <c r="J9" s="359">
        <v>8</v>
      </c>
      <c r="K9" s="359">
        <v>9</v>
      </c>
      <c r="L9" s="359">
        <v>10</v>
      </c>
      <c r="M9" s="359">
        <v>11</v>
      </c>
      <c r="N9" s="359">
        <v>12</v>
      </c>
      <c r="O9" s="359">
        <v>13</v>
      </c>
      <c r="P9" s="359">
        <v>14</v>
      </c>
      <c r="Q9" s="359">
        <v>15</v>
      </c>
      <c r="R9" s="87"/>
    </row>
    <row r="10" spans="2:18" ht="18">
      <c r="B10" s="360"/>
      <c r="C10" s="359"/>
      <c r="D10" s="359"/>
      <c r="E10" s="361"/>
      <c r="F10" s="359"/>
      <c r="G10" s="362">
        <f>SUM(G11:G47)</f>
        <v>483923</v>
      </c>
      <c r="H10" s="362">
        <f>SUM(H11:H47)</f>
        <v>483923</v>
      </c>
      <c r="I10" s="362">
        <f>SUM(I11:I47)</f>
        <v>0</v>
      </c>
      <c r="J10" s="362">
        <f>SUM(J11:J47)</f>
        <v>0</v>
      </c>
      <c r="K10" s="359"/>
      <c r="L10" s="359"/>
      <c r="M10" s="359"/>
      <c r="N10" s="359"/>
      <c r="O10" s="362">
        <f>SUM(O11:O47)</f>
        <v>641936</v>
      </c>
      <c r="P10" s="359"/>
      <c r="Q10" s="362">
        <f>SUM(Q11:Q47)</f>
        <v>346628</v>
      </c>
      <c r="R10" s="87"/>
    </row>
    <row r="11" spans="2:18" ht="18">
      <c r="B11" s="363">
        <v>1</v>
      </c>
      <c r="C11" s="364" t="s">
        <v>2658</v>
      </c>
      <c r="D11" s="363" t="s">
        <v>1456</v>
      </c>
      <c r="E11" s="365">
        <v>41632</v>
      </c>
      <c r="F11" s="363">
        <v>1</v>
      </c>
      <c r="G11" s="366">
        <v>483923</v>
      </c>
      <c r="H11" s="366">
        <v>483923</v>
      </c>
      <c r="I11" s="366">
        <v>0</v>
      </c>
      <c r="J11" s="366">
        <v>0</v>
      </c>
      <c r="K11" s="365">
        <v>42362</v>
      </c>
      <c r="L11" s="363">
        <v>0</v>
      </c>
      <c r="M11" s="367">
        <v>0.2</v>
      </c>
      <c r="N11" s="363">
        <v>4</v>
      </c>
      <c r="O11" s="368">
        <v>641936</v>
      </c>
      <c r="P11" s="363">
        <v>4</v>
      </c>
      <c r="Q11" s="366">
        <v>346628</v>
      </c>
      <c r="R11" s="87"/>
    </row>
    <row r="12" spans="2:18" ht="18">
      <c r="B12" s="363"/>
      <c r="C12" s="364"/>
      <c r="D12" s="363"/>
      <c r="E12" s="365"/>
      <c r="F12" s="363"/>
      <c r="G12" s="366"/>
      <c r="H12" s="366"/>
      <c r="I12" s="366"/>
      <c r="J12" s="366"/>
      <c r="K12" s="365"/>
      <c r="L12" s="363"/>
      <c r="M12" s="367"/>
      <c r="N12" s="363"/>
      <c r="O12" s="368"/>
      <c r="P12" s="363"/>
      <c r="Q12" s="366"/>
      <c r="R12" s="87"/>
    </row>
    <row r="13" spans="2:18" ht="18">
      <c r="B13" s="363"/>
      <c r="C13" s="364"/>
      <c r="D13" s="363"/>
      <c r="E13" s="365"/>
      <c r="F13" s="363"/>
      <c r="G13" s="366"/>
      <c r="H13" s="366"/>
      <c r="I13" s="366"/>
      <c r="J13" s="366"/>
      <c r="K13" s="365"/>
      <c r="L13" s="363"/>
      <c r="M13" s="367"/>
      <c r="N13" s="363"/>
      <c r="O13" s="368"/>
      <c r="P13" s="363"/>
      <c r="Q13" s="366"/>
      <c r="R13" s="87"/>
    </row>
    <row r="14" spans="2:18" ht="18">
      <c r="B14" s="363"/>
      <c r="C14" s="364"/>
      <c r="D14" s="363"/>
      <c r="E14" s="365"/>
      <c r="F14" s="363"/>
      <c r="G14" s="366"/>
      <c r="H14" s="366"/>
      <c r="I14" s="366"/>
      <c r="J14" s="366"/>
      <c r="K14" s="365"/>
      <c r="L14" s="363"/>
      <c r="M14" s="367"/>
      <c r="N14" s="363"/>
      <c r="O14" s="368"/>
      <c r="P14" s="363"/>
      <c r="Q14" s="366"/>
      <c r="R14" s="87"/>
    </row>
    <row r="15" spans="2:18" ht="18">
      <c r="B15" s="363"/>
      <c r="C15" s="364"/>
      <c r="D15" s="363"/>
      <c r="E15" s="365"/>
      <c r="F15" s="363"/>
      <c r="G15" s="366"/>
      <c r="H15" s="366"/>
      <c r="I15" s="366"/>
      <c r="J15" s="366"/>
      <c r="K15" s="365"/>
      <c r="L15" s="363"/>
      <c r="M15" s="367"/>
      <c r="N15" s="363"/>
      <c r="O15" s="368"/>
      <c r="P15" s="363"/>
      <c r="Q15" s="366"/>
      <c r="R15" s="87"/>
    </row>
    <row r="16" spans="2:18" ht="18">
      <c r="B16" s="363"/>
      <c r="C16" s="364"/>
      <c r="D16" s="363"/>
      <c r="E16" s="365"/>
      <c r="F16" s="363"/>
      <c r="G16" s="366"/>
      <c r="H16" s="366"/>
      <c r="I16" s="366"/>
      <c r="J16" s="366"/>
      <c r="K16" s="365"/>
      <c r="L16" s="363"/>
      <c r="M16" s="367"/>
      <c r="N16" s="363"/>
      <c r="O16" s="368"/>
      <c r="P16" s="363"/>
      <c r="Q16" s="366"/>
      <c r="R16" s="87"/>
    </row>
    <row r="17" spans="2:18" ht="18">
      <c r="B17" s="363"/>
      <c r="C17" s="364"/>
      <c r="D17" s="363"/>
      <c r="E17" s="365"/>
      <c r="F17" s="363"/>
      <c r="G17" s="366"/>
      <c r="H17" s="366"/>
      <c r="I17" s="366"/>
      <c r="J17" s="366"/>
      <c r="K17" s="365"/>
      <c r="L17" s="363"/>
      <c r="M17" s="367"/>
      <c r="N17" s="363"/>
      <c r="O17" s="368"/>
      <c r="P17" s="363"/>
      <c r="Q17" s="366"/>
    </row>
    <row r="18" spans="2:18" ht="18">
      <c r="B18" s="363"/>
      <c r="C18" s="364"/>
      <c r="D18" s="363"/>
      <c r="E18" s="365"/>
      <c r="F18" s="363"/>
      <c r="G18" s="366"/>
      <c r="H18" s="366"/>
      <c r="I18" s="366"/>
      <c r="J18" s="366"/>
      <c r="K18" s="365"/>
      <c r="L18" s="363"/>
      <c r="M18" s="367"/>
      <c r="N18" s="363"/>
      <c r="O18" s="368"/>
      <c r="P18" s="363"/>
      <c r="Q18" s="366"/>
      <c r="R18" s="87"/>
    </row>
    <row r="19" spans="2:18" ht="18">
      <c r="B19" s="363"/>
      <c r="C19" s="364"/>
      <c r="D19" s="363"/>
      <c r="E19" s="365"/>
      <c r="F19" s="363"/>
      <c r="G19" s="366"/>
      <c r="H19" s="366"/>
      <c r="I19" s="366"/>
      <c r="J19" s="366"/>
      <c r="K19" s="365"/>
      <c r="L19" s="363"/>
      <c r="M19" s="367"/>
      <c r="N19" s="363"/>
      <c r="O19" s="368"/>
      <c r="P19" s="363"/>
      <c r="Q19" s="366"/>
      <c r="R19" s="87"/>
    </row>
    <row r="20" spans="2:18" ht="18">
      <c r="B20" s="363"/>
      <c r="C20" s="364"/>
      <c r="D20" s="363"/>
      <c r="E20" s="365"/>
      <c r="F20" s="363"/>
      <c r="G20" s="366"/>
      <c r="H20" s="366"/>
      <c r="I20" s="366"/>
      <c r="J20" s="366"/>
      <c r="K20" s="365"/>
      <c r="L20" s="363"/>
      <c r="M20" s="367"/>
      <c r="N20" s="363"/>
      <c r="O20" s="368"/>
      <c r="P20" s="363"/>
      <c r="Q20" s="366"/>
      <c r="R20" s="87"/>
    </row>
    <row r="21" spans="2:18" ht="18">
      <c r="B21" s="363"/>
      <c r="C21" s="364"/>
      <c r="D21" s="363"/>
      <c r="E21" s="365"/>
      <c r="F21" s="363"/>
      <c r="G21" s="366"/>
      <c r="H21" s="366"/>
      <c r="I21" s="366"/>
      <c r="J21" s="366"/>
      <c r="K21" s="365"/>
      <c r="L21" s="363"/>
      <c r="M21" s="367"/>
      <c r="N21" s="363"/>
      <c r="O21" s="368"/>
      <c r="P21" s="363"/>
      <c r="Q21" s="366"/>
      <c r="R21" s="87"/>
    </row>
    <row r="22" spans="2:18" ht="18">
      <c r="B22" s="363"/>
      <c r="C22" s="364"/>
      <c r="D22" s="363"/>
      <c r="E22" s="365"/>
      <c r="F22" s="363"/>
      <c r="G22" s="366"/>
      <c r="H22" s="366"/>
      <c r="I22" s="366"/>
      <c r="J22" s="366"/>
      <c r="K22" s="365"/>
      <c r="L22" s="363"/>
      <c r="M22" s="367"/>
      <c r="N22" s="363"/>
      <c r="O22" s="368"/>
      <c r="P22" s="363"/>
      <c r="Q22" s="366"/>
      <c r="R22" s="87"/>
    </row>
    <row r="23" spans="2:18" ht="18">
      <c r="B23" s="363"/>
      <c r="C23" s="364"/>
      <c r="D23" s="363"/>
      <c r="E23" s="365"/>
      <c r="F23" s="363"/>
      <c r="G23" s="366"/>
      <c r="H23" s="366"/>
      <c r="I23" s="366"/>
      <c r="J23" s="366"/>
      <c r="K23" s="365"/>
      <c r="L23" s="363"/>
      <c r="M23" s="367"/>
      <c r="N23" s="363"/>
      <c r="O23" s="368"/>
      <c r="P23" s="363"/>
      <c r="Q23" s="366"/>
      <c r="R23" s="87"/>
    </row>
    <row r="24" spans="2:18" ht="18">
      <c r="B24" s="363"/>
      <c r="C24" s="364"/>
      <c r="D24" s="363"/>
      <c r="E24" s="365"/>
      <c r="F24" s="363"/>
      <c r="G24" s="366"/>
      <c r="H24" s="366"/>
      <c r="I24" s="366"/>
      <c r="J24" s="366"/>
      <c r="K24" s="365"/>
      <c r="L24" s="363"/>
      <c r="M24" s="367"/>
      <c r="N24" s="363"/>
      <c r="O24" s="368"/>
      <c r="P24" s="363"/>
      <c r="Q24" s="366"/>
      <c r="R24" s="87"/>
    </row>
    <row r="25" spans="2:18" ht="18">
      <c r="B25" s="363"/>
      <c r="C25" s="364"/>
      <c r="D25" s="363"/>
      <c r="E25" s="365"/>
      <c r="F25" s="363"/>
      <c r="G25" s="366"/>
      <c r="H25" s="366"/>
      <c r="I25" s="366"/>
      <c r="J25" s="366"/>
      <c r="K25" s="365"/>
      <c r="L25" s="363"/>
      <c r="M25" s="367"/>
      <c r="N25" s="363"/>
      <c r="O25" s="368"/>
      <c r="P25" s="363"/>
      <c r="Q25" s="366"/>
      <c r="R25" s="87"/>
    </row>
    <row r="26" spans="2:18" ht="18">
      <c r="B26" s="363"/>
      <c r="C26" s="364"/>
      <c r="D26" s="363"/>
      <c r="E26" s="365"/>
      <c r="F26" s="363"/>
      <c r="G26" s="366"/>
      <c r="H26" s="366"/>
      <c r="I26" s="366"/>
      <c r="J26" s="366"/>
      <c r="K26" s="365"/>
      <c r="L26" s="363"/>
      <c r="M26" s="367"/>
      <c r="N26" s="363"/>
      <c r="O26" s="368"/>
      <c r="P26" s="363"/>
      <c r="Q26" s="366"/>
      <c r="R26" s="87"/>
    </row>
    <row r="27" spans="2:18" ht="18">
      <c r="B27" s="363"/>
      <c r="C27" s="364"/>
      <c r="D27" s="363"/>
      <c r="E27" s="365"/>
      <c r="F27" s="363"/>
      <c r="G27" s="366"/>
      <c r="H27" s="366"/>
      <c r="I27" s="366"/>
      <c r="J27" s="366"/>
      <c r="K27" s="365"/>
      <c r="L27" s="363"/>
      <c r="M27" s="367"/>
      <c r="N27" s="363"/>
      <c r="O27" s="368"/>
      <c r="P27" s="363"/>
      <c r="Q27" s="366"/>
      <c r="R27" s="87"/>
    </row>
    <row r="28" spans="2:18" ht="18">
      <c r="B28" s="363"/>
      <c r="C28" s="364"/>
      <c r="D28" s="363"/>
      <c r="E28" s="365"/>
      <c r="F28" s="363"/>
      <c r="G28" s="366"/>
      <c r="H28" s="366"/>
      <c r="I28" s="366"/>
      <c r="J28" s="366"/>
      <c r="K28" s="365"/>
      <c r="L28" s="363"/>
      <c r="M28" s="367"/>
      <c r="N28" s="363"/>
      <c r="O28" s="368"/>
      <c r="P28" s="363"/>
      <c r="Q28" s="366"/>
      <c r="R28" s="87"/>
    </row>
    <row r="29" spans="2:18" ht="18">
      <c r="B29" s="363"/>
      <c r="C29" s="364"/>
      <c r="D29" s="363"/>
      <c r="E29" s="365"/>
      <c r="F29" s="363"/>
      <c r="G29" s="366"/>
      <c r="H29" s="366"/>
      <c r="I29" s="366"/>
      <c r="J29" s="366"/>
      <c r="K29" s="365"/>
      <c r="L29" s="363"/>
      <c r="M29" s="367"/>
      <c r="N29" s="363"/>
      <c r="O29" s="368"/>
      <c r="P29" s="363"/>
      <c r="Q29" s="366"/>
      <c r="R29" s="87"/>
    </row>
    <row r="30" spans="2:18" ht="18">
      <c r="B30" s="363"/>
      <c r="C30" s="364"/>
      <c r="D30" s="363"/>
      <c r="E30" s="365"/>
      <c r="F30" s="363"/>
      <c r="G30" s="366"/>
      <c r="H30" s="366"/>
      <c r="I30" s="366"/>
      <c r="J30" s="366"/>
      <c r="K30" s="365"/>
      <c r="L30" s="363"/>
      <c r="M30" s="367"/>
      <c r="N30" s="363"/>
      <c r="O30" s="368"/>
      <c r="P30" s="363"/>
      <c r="Q30" s="366"/>
      <c r="R30" s="87"/>
    </row>
    <row r="31" spans="2:18" ht="18">
      <c r="B31" s="363"/>
      <c r="C31" s="364"/>
      <c r="D31" s="363"/>
      <c r="E31" s="365"/>
      <c r="F31" s="363"/>
      <c r="G31" s="366"/>
      <c r="H31" s="366"/>
      <c r="I31" s="366"/>
      <c r="J31" s="366"/>
      <c r="K31" s="365"/>
      <c r="L31" s="363"/>
      <c r="M31" s="367"/>
      <c r="N31" s="363"/>
      <c r="O31" s="368"/>
      <c r="P31" s="363"/>
      <c r="Q31" s="366"/>
      <c r="R31" s="87"/>
    </row>
    <row r="32" spans="2:18" ht="18">
      <c r="B32" s="363"/>
      <c r="C32" s="364"/>
      <c r="D32" s="363"/>
      <c r="E32" s="365"/>
      <c r="F32" s="363"/>
      <c r="G32" s="366"/>
      <c r="H32" s="366"/>
      <c r="I32" s="366"/>
      <c r="J32" s="366"/>
      <c r="K32" s="365"/>
      <c r="L32" s="363"/>
      <c r="M32" s="367"/>
      <c r="N32" s="363"/>
      <c r="O32" s="368"/>
      <c r="P32" s="363"/>
      <c r="Q32" s="366"/>
      <c r="R32" s="87"/>
    </row>
    <row r="33" spans="2:18" ht="18">
      <c r="B33" s="363"/>
      <c r="C33" s="364"/>
      <c r="D33" s="363"/>
      <c r="E33" s="365"/>
      <c r="F33" s="363"/>
      <c r="G33" s="366"/>
      <c r="H33" s="366"/>
      <c r="I33" s="366"/>
      <c r="J33" s="366"/>
      <c r="K33" s="365"/>
      <c r="L33" s="363"/>
      <c r="M33" s="367"/>
      <c r="N33" s="363"/>
      <c r="O33" s="368"/>
      <c r="P33" s="363"/>
      <c r="Q33" s="366"/>
      <c r="R33" s="87"/>
    </row>
    <row r="34" spans="2:18" ht="18">
      <c r="B34" s="363"/>
      <c r="C34" s="364"/>
      <c r="D34" s="363"/>
      <c r="E34" s="365"/>
      <c r="F34" s="363"/>
      <c r="G34" s="366"/>
      <c r="H34" s="366"/>
      <c r="I34" s="366"/>
      <c r="J34" s="366"/>
      <c r="K34" s="365"/>
      <c r="L34" s="363"/>
      <c r="M34" s="367"/>
      <c r="N34" s="363"/>
      <c r="O34" s="368"/>
      <c r="P34" s="363"/>
      <c r="Q34" s="366"/>
      <c r="R34" s="87"/>
    </row>
    <row r="35" spans="2:18" ht="18">
      <c r="B35" s="363"/>
      <c r="C35" s="364"/>
      <c r="D35" s="363"/>
      <c r="E35" s="365"/>
      <c r="F35" s="363"/>
      <c r="G35" s="366"/>
      <c r="H35" s="366"/>
      <c r="I35" s="366"/>
      <c r="J35" s="366"/>
      <c r="K35" s="365"/>
      <c r="L35" s="363"/>
      <c r="M35" s="367"/>
      <c r="N35" s="363"/>
      <c r="O35" s="368"/>
      <c r="P35" s="363"/>
      <c r="Q35" s="366"/>
      <c r="R35" s="87"/>
    </row>
    <row r="36" spans="2:18" ht="18">
      <c r="B36" s="363"/>
      <c r="C36" s="364"/>
      <c r="D36" s="363"/>
      <c r="E36" s="365"/>
      <c r="F36" s="363"/>
      <c r="G36" s="366"/>
      <c r="H36" s="366"/>
      <c r="I36" s="366"/>
      <c r="J36" s="366"/>
      <c r="K36" s="365"/>
      <c r="L36" s="363"/>
      <c r="M36" s="367"/>
      <c r="N36" s="363"/>
      <c r="O36" s="368"/>
      <c r="P36" s="363"/>
      <c r="Q36" s="366"/>
      <c r="R36" s="87"/>
    </row>
    <row r="37" spans="2:18" ht="18">
      <c r="B37" s="363"/>
      <c r="C37" s="364"/>
      <c r="D37" s="363"/>
      <c r="E37" s="365"/>
      <c r="F37" s="363"/>
      <c r="G37" s="366"/>
      <c r="H37" s="366"/>
      <c r="I37" s="366"/>
      <c r="J37" s="366"/>
      <c r="K37" s="365"/>
      <c r="L37" s="363"/>
      <c r="M37" s="367"/>
      <c r="N37" s="363"/>
      <c r="O37" s="368"/>
      <c r="P37" s="363"/>
      <c r="Q37" s="366"/>
      <c r="R37" s="87"/>
    </row>
    <row r="38" spans="2:18" ht="18">
      <c r="B38" s="363"/>
      <c r="C38" s="364"/>
      <c r="D38" s="363"/>
      <c r="E38" s="365"/>
      <c r="F38" s="363"/>
      <c r="G38" s="366"/>
      <c r="H38" s="366"/>
      <c r="I38" s="366"/>
      <c r="J38" s="366"/>
      <c r="K38" s="365"/>
      <c r="L38" s="363"/>
      <c r="M38" s="367"/>
      <c r="N38" s="363"/>
      <c r="O38" s="368"/>
      <c r="P38" s="363"/>
      <c r="Q38" s="366"/>
      <c r="R38" s="87"/>
    </row>
    <row r="39" spans="2:18" ht="18">
      <c r="B39" s="363"/>
      <c r="C39" s="364"/>
      <c r="D39" s="363"/>
      <c r="E39" s="365"/>
      <c r="F39" s="363"/>
      <c r="G39" s="366"/>
      <c r="H39" s="366"/>
      <c r="I39" s="366"/>
      <c r="J39" s="366"/>
      <c r="K39" s="365"/>
      <c r="L39" s="363"/>
      <c r="M39" s="367"/>
      <c r="N39" s="363"/>
      <c r="O39" s="368"/>
      <c r="P39" s="363"/>
      <c r="Q39" s="366"/>
      <c r="R39" s="87"/>
    </row>
    <row r="40" spans="2:18" ht="18">
      <c r="B40" s="363"/>
      <c r="C40" s="364"/>
      <c r="D40" s="363"/>
      <c r="E40" s="365"/>
      <c r="F40" s="363"/>
      <c r="G40" s="366"/>
      <c r="H40" s="366"/>
      <c r="I40" s="366"/>
      <c r="J40" s="366"/>
      <c r="K40" s="365"/>
      <c r="L40" s="363"/>
      <c r="M40" s="367"/>
      <c r="N40" s="363"/>
      <c r="O40" s="368"/>
      <c r="P40" s="363"/>
      <c r="Q40" s="366"/>
      <c r="R40" s="87"/>
    </row>
    <row r="41" spans="2:18" ht="18">
      <c r="B41" s="363"/>
      <c r="C41" s="364"/>
      <c r="D41" s="363"/>
      <c r="E41" s="365"/>
      <c r="F41" s="363"/>
      <c r="G41" s="366"/>
      <c r="H41" s="366"/>
      <c r="I41" s="366"/>
      <c r="J41" s="366"/>
      <c r="K41" s="365"/>
      <c r="L41" s="363"/>
      <c r="M41" s="367"/>
      <c r="N41" s="363"/>
      <c r="O41" s="368"/>
      <c r="P41" s="363"/>
      <c r="Q41" s="366"/>
      <c r="R41" s="87"/>
    </row>
    <row r="42" spans="2:18" ht="18">
      <c r="B42" s="363"/>
      <c r="C42" s="364"/>
      <c r="D42" s="363"/>
      <c r="E42" s="365"/>
      <c r="F42" s="363"/>
      <c r="G42" s="366"/>
      <c r="H42" s="366"/>
      <c r="I42" s="366"/>
      <c r="J42" s="366"/>
      <c r="K42" s="365"/>
      <c r="L42" s="363"/>
      <c r="M42" s="367"/>
      <c r="N42" s="363"/>
      <c r="O42" s="368"/>
      <c r="P42" s="363"/>
      <c r="Q42" s="366"/>
      <c r="R42" s="87"/>
    </row>
    <row r="43" spans="2:18" ht="18">
      <c r="B43" s="363"/>
      <c r="C43" s="364"/>
      <c r="D43" s="363"/>
      <c r="E43" s="365"/>
      <c r="F43" s="363"/>
      <c r="G43" s="366"/>
      <c r="H43" s="366"/>
      <c r="I43" s="366"/>
      <c r="J43" s="366"/>
      <c r="K43" s="365"/>
      <c r="L43" s="363"/>
      <c r="M43" s="367"/>
      <c r="N43" s="363"/>
      <c r="O43" s="368"/>
      <c r="P43" s="363"/>
      <c r="Q43" s="366"/>
    </row>
    <row r="44" spans="2:18" ht="18">
      <c r="B44" s="363"/>
      <c r="C44" s="364"/>
      <c r="D44" s="363"/>
      <c r="E44" s="365"/>
      <c r="F44" s="363"/>
      <c r="G44" s="366"/>
      <c r="H44" s="366"/>
      <c r="I44" s="366"/>
      <c r="J44" s="366"/>
      <c r="K44" s="365"/>
      <c r="L44" s="363"/>
      <c r="M44" s="367"/>
      <c r="N44" s="363"/>
      <c r="O44" s="368"/>
      <c r="P44" s="363"/>
      <c r="Q44" s="366"/>
    </row>
    <row r="45" spans="2:18" ht="18">
      <c r="B45" s="363"/>
      <c r="C45" s="364"/>
      <c r="D45" s="363"/>
      <c r="E45" s="365"/>
      <c r="F45" s="363"/>
      <c r="G45" s="366"/>
      <c r="H45" s="366"/>
      <c r="I45" s="366"/>
      <c r="J45" s="366"/>
      <c r="K45" s="365"/>
      <c r="L45" s="363"/>
      <c r="M45" s="367"/>
      <c r="N45" s="363"/>
      <c r="O45" s="368"/>
      <c r="P45" s="363"/>
      <c r="Q45" s="366"/>
    </row>
    <row r="46" spans="2:18" ht="18">
      <c r="B46" s="363"/>
      <c r="C46" s="364"/>
      <c r="D46" s="363"/>
      <c r="E46" s="365"/>
      <c r="F46" s="363"/>
      <c r="G46" s="366"/>
      <c r="H46" s="366"/>
      <c r="I46" s="366"/>
      <c r="J46" s="366"/>
      <c r="K46" s="365"/>
      <c r="L46" s="363"/>
      <c r="M46" s="367"/>
      <c r="N46" s="363"/>
      <c r="O46" s="368"/>
      <c r="P46" s="363"/>
      <c r="Q46" s="366"/>
    </row>
    <row r="47" spans="2:18" ht="18">
      <c r="B47" s="363"/>
      <c r="C47" s="364"/>
      <c r="D47" s="363"/>
      <c r="E47" s="365"/>
      <c r="F47" s="363"/>
      <c r="G47" s="366"/>
      <c r="H47" s="366"/>
      <c r="I47" s="366"/>
      <c r="J47" s="366"/>
      <c r="K47" s="365"/>
      <c r="L47" s="363"/>
      <c r="M47" s="367"/>
      <c r="N47" s="363"/>
      <c r="O47" s="368"/>
      <c r="P47" s="363"/>
      <c r="Q47" s="366"/>
    </row>
  </sheetData>
  <sheetProtection password="E9D4" sheet="1" objects="1" scenarios="1"/>
  <customSheetViews>
    <customSheetView guid="{871F8275-217B-436F-8813-871F820F0EE4}" scale="75" showPageBreaks="1" showGridLines="0" printArea="1" view="pageBreakPreview">
      <selection activeCell="G14" sqref="G14"/>
      <pageMargins left="0.31496062992125984" right="0.31496062992125984" top="0.39370078740157483" bottom="0.39370078740157483" header="0.19685039370078741" footer="0.19685039370078741"/>
      <pageSetup paperSize="9" scale="60" orientation="landscape" r:id="rId1"/>
      <headerFooter alignWithMargins="0">
        <oddFooter>&amp;L&amp;7&amp;D&amp;C&amp;7&amp;P&amp;R&amp;7&amp;F</oddFooter>
      </headerFooter>
    </customSheetView>
    <customSheetView guid="{ECE607A2-8A26-46E0-8BDC-E9AD788F604C}" scale="75" showPageBreaks="1" showGridLines="0" printArea="1" view="pageBreakPreview">
      <selection activeCell="G14" sqref="G14"/>
      <pageMargins left="0.31496062992125984" right="0.31496062992125984" top="0.39370078740157483" bottom="0.39370078740157483" header="0.19685039370078741" footer="0.19685039370078741"/>
      <pageSetup paperSize="9" scale="60" orientation="landscape" r:id="rId2"/>
      <headerFooter alignWithMargins="0">
        <oddFooter>&amp;L&amp;7&amp;D&amp;C&amp;7&amp;P&amp;R&amp;7&amp;F</oddFooter>
      </headerFooter>
    </customSheetView>
    <customSheetView guid="{FB1E0752-409C-4E7D-BCFE-7AEBEB8B5F0D}" scale="75" showPageBreaks="1" showGridLines="0" printArea="1" view="pageBreakPreview">
      <selection activeCell="G14" sqref="G14"/>
      <pageMargins left="0.31496062992125984" right="0.31496062992125984" top="0.39370078740157483" bottom="0.39370078740157483" header="0.19685039370078741" footer="0.19685039370078741"/>
      <pageSetup paperSize="9" scale="60" orientation="landscape" r:id="rId3"/>
      <headerFooter alignWithMargins="0">
        <oddFooter>&amp;L&amp;7&amp;D&amp;C&amp;7&amp;P&amp;R&amp;7&amp;F</oddFooter>
      </headerFooter>
    </customSheetView>
  </customSheetViews>
  <mergeCells count="3">
    <mergeCell ref="B6:C7"/>
    <mergeCell ref="D6:Q6"/>
    <mergeCell ref="N1:Q1"/>
  </mergeCells>
  <phoneticPr fontId="34" type="noConversion"/>
  <pageMargins left="0.31496062992125984" right="0.31496062992125984" top="0.39370078740157483" bottom="0.39370078740157483" header="0.19685039370078741" footer="0.19685039370078741"/>
  <pageSetup paperSize="9" scale="59" orientation="landscape" r:id="rId4"/>
  <headerFooter alignWithMargins="0">
    <oddFooter>&amp;L&amp;7&amp;D&amp;C&amp;7&amp;P&amp;R&amp;7&amp;F</oddFooter>
  </headerFooter>
</worksheet>
</file>

<file path=xl/worksheets/sheet44.xml><?xml version="1.0" encoding="utf-8"?>
<worksheet xmlns="http://schemas.openxmlformats.org/spreadsheetml/2006/main" xmlns:r="http://schemas.openxmlformats.org/officeDocument/2006/relationships">
  <sheetPr codeName="Лист43"/>
  <dimension ref="B1:P47"/>
  <sheetViews>
    <sheetView workbookViewId="0">
      <selection activeCell="I16" sqref="I16"/>
    </sheetView>
  </sheetViews>
  <sheetFormatPr defaultRowHeight="15"/>
  <cols>
    <col min="1" max="1" width="1.5703125" style="334" customWidth="1"/>
    <col min="2" max="2" width="5.7109375" style="334" customWidth="1"/>
    <col min="3" max="3" width="47.85546875" style="334" customWidth="1"/>
    <col min="4" max="4" width="12.7109375" style="334" customWidth="1"/>
    <col min="5" max="12" width="16.7109375" style="334" customWidth="1"/>
    <col min="13" max="13" width="12.7109375" style="334" customWidth="1"/>
    <col min="14" max="15" width="16.7109375" style="334" customWidth="1"/>
    <col min="16" max="16384" width="9.140625" style="334"/>
  </cols>
  <sheetData>
    <row r="1" spans="2:16" ht="29.25" customHeight="1">
      <c r="B1" s="332"/>
      <c r="C1" s="332"/>
      <c r="D1" s="333"/>
      <c r="E1" s="333"/>
      <c r="F1" s="333"/>
      <c r="G1" s="333"/>
      <c r="H1" s="332"/>
      <c r="I1" s="333"/>
      <c r="J1" s="333"/>
      <c r="K1" s="333"/>
      <c r="L1" s="87"/>
      <c r="M1" s="1189" t="s">
        <v>2269</v>
      </c>
      <c r="N1" s="1189"/>
      <c r="O1" s="1189"/>
      <c r="P1" s="87"/>
    </row>
    <row r="2" spans="2:16" ht="18">
      <c r="B2" s="335"/>
      <c r="C2" s="806" t="str">
        <f>T!E18</f>
        <v>Номгӯи ташкилоти қарзӣ</v>
      </c>
      <c r="D2" s="333"/>
      <c r="E2" s="333"/>
      <c r="F2" s="333"/>
      <c r="G2" s="333"/>
      <c r="H2" s="333"/>
      <c r="I2" s="333"/>
      <c r="J2" s="333"/>
      <c r="K2" s="333"/>
      <c r="L2" s="333"/>
      <c r="M2" s="333"/>
      <c r="N2" s="333"/>
      <c r="O2" s="333"/>
      <c r="P2" s="87"/>
    </row>
    <row r="3" spans="2:16" ht="19.5">
      <c r="B3" s="333"/>
      <c r="C3" s="807" t="str">
        <f>T!B10</f>
        <v>Ҳисобот дар санаи</v>
      </c>
      <c r="D3" s="333"/>
      <c r="E3" s="333"/>
      <c r="F3" s="333"/>
      <c r="G3" s="333"/>
      <c r="H3" s="333"/>
      <c r="I3" s="333"/>
      <c r="J3" s="333"/>
      <c r="K3" s="333"/>
      <c r="L3" s="333"/>
      <c r="M3" s="337"/>
      <c r="N3" s="337"/>
      <c r="O3" s="337"/>
      <c r="P3" s="87"/>
    </row>
    <row r="4" spans="2:16" ht="18">
      <c r="B4" s="338"/>
      <c r="C4" s="808" t="str">
        <f>'List of Scedules'!B43</f>
        <v>ҶАДВАЛИ 21.02. ҶОЙГИРКУНИҲОИ ҶАЛБШУДАИ ТАШКИЛОТҲОИ ҚАРЗИИ МОЛИЯВӢ</v>
      </c>
      <c r="D4" s="340"/>
      <c r="E4" s="341"/>
      <c r="F4" s="341"/>
      <c r="G4" s="341"/>
      <c r="H4" s="341"/>
      <c r="I4" s="341"/>
      <c r="J4" s="341"/>
      <c r="K4" s="341"/>
      <c r="L4" s="341"/>
      <c r="M4" s="341"/>
      <c r="N4" s="341"/>
      <c r="O4" s="341"/>
      <c r="P4" s="87"/>
    </row>
    <row r="5" spans="2:16" ht="18">
      <c r="B5" s="341"/>
      <c r="C5" s="341"/>
      <c r="D5" s="341"/>
      <c r="E5" s="341"/>
      <c r="F5" s="341"/>
      <c r="G5" s="341"/>
      <c r="H5" s="341"/>
      <c r="I5" s="341"/>
      <c r="J5" s="341"/>
      <c r="K5" s="341"/>
      <c r="L5" s="341"/>
      <c r="M5" s="341"/>
      <c r="N5" s="341"/>
      <c r="O5" s="341"/>
      <c r="P5" s="87"/>
    </row>
    <row r="6" spans="2:16" ht="18" customHeight="1">
      <c r="B6" s="1268" t="s">
        <v>2328</v>
      </c>
      <c r="C6" s="1269"/>
      <c r="D6" s="1272" t="s">
        <v>2334</v>
      </c>
      <c r="E6" s="1272"/>
      <c r="F6" s="1272"/>
      <c r="G6" s="1272"/>
      <c r="H6" s="1272"/>
      <c r="I6" s="1272"/>
      <c r="J6" s="1272"/>
      <c r="K6" s="1272"/>
      <c r="L6" s="1272"/>
      <c r="M6" s="1272"/>
      <c r="N6" s="1272"/>
      <c r="O6" s="1272"/>
      <c r="P6" s="87"/>
    </row>
    <row r="7" spans="2:16" ht="73.5" customHeight="1">
      <c r="B7" s="1270"/>
      <c r="C7" s="1271"/>
      <c r="D7" s="355" t="s">
        <v>1788</v>
      </c>
      <c r="E7" s="355" t="s">
        <v>2330</v>
      </c>
      <c r="F7" s="355" t="s">
        <v>2329</v>
      </c>
      <c r="G7" s="355" t="s">
        <v>1791</v>
      </c>
      <c r="H7" s="355" t="s">
        <v>2331</v>
      </c>
      <c r="I7" s="355" t="s">
        <v>1793</v>
      </c>
      <c r="J7" s="355" t="s">
        <v>1794</v>
      </c>
      <c r="K7" s="355" t="s">
        <v>1764</v>
      </c>
      <c r="L7" s="355" t="s">
        <v>2332</v>
      </c>
      <c r="M7" s="355" t="s">
        <v>1796</v>
      </c>
      <c r="N7" s="355" t="s">
        <v>1797</v>
      </c>
      <c r="O7" s="355" t="s">
        <v>1020</v>
      </c>
      <c r="P7" s="87"/>
    </row>
    <row r="8" spans="2:16" ht="18">
      <c r="B8" s="357">
        <v>0</v>
      </c>
      <c r="C8" s="358" t="s">
        <v>2305</v>
      </c>
      <c r="D8" s="358" t="s">
        <v>2306</v>
      </c>
      <c r="E8" s="358" t="s">
        <v>2307</v>
      </c>
      <c r="F8" s="358" t="s">
        <v>2308</v>
      </c>
      <c r="G8" s="358" t="s">
        <v>2309</v>
      </c>
      <c r="H8" s="358" t="s">
        <v>2310</v>
      </c>
      <c r="I8" s="358" t="s">
        <v>2311</v>
      </c>
      <c r="J8" s="358" t="s">
        <v>2312</v>
      </c>
      <c r="K8" s="358" t="s">
        <v>2313</v>
      </c>
      <c r="L8" s="358" t="s">
        <v>2314</v>
      </c>
      <c r="M8" s="358" t="s">
        <v>2315</v>
      </c>
      <c r="N8" s="358" t="s">
        <v>2316</v>
      </c>
      <c r="O8" s="358" t="s">
        <v>2317</v>
      </c>
      <c r="P8" s="87"/>
    </row>
    <row r="9" spans="2:16" ht="18">
      <c r="B9" s="359" t="s">
        <v>888</v>
      </c>
      <c r="C9" s="359">
        <v>1</v>
      </c>
      <c r="D9" s="359">
        <v>2</v>
      </c>
      <c r="E9" s="359">
        <v>3</v>
      </c>
      <c r="F9" s="359">
        <v>4</v>
      </c>
      <c r="G9" s="359">
        <v>5</v>
      </c>
      <c r="H9" s="359">
        <v>6</v>
      </c>
      <c r="I9" s="359">
        <v>7</v>
      </c>
      <c r="J9" s="359">
        <v>8</v>
      </c>
      <c r="K9" s="359">
        <v>9</v>
      </c>
      <c r="L9" s="359">
        <v>10</v>
      </c>
      <c r="M9" s="359">
        <v>11</v>
      </c>
      <c r="N9" s="359">
        <v>12</v>
      </c>
      <c r="O9" s="359">
        <v>13</v>
      </c>
      <c r="P9" s="87"/>
    </row>
    <row r="10" spans="2:16" ht="18">
      <c r="B10" s="360"/>
      <c r="C10" s="359"/>
      <c r="D10" s="359"/>
      <c r="E10" s="361"/>
      <c r="F10" s="359"/>
      <c r="G10" s="362">
        <f>SUM(G11:G47)</f>
        <v>0</v>
      </c>
      <c r="H10" s="362">
        <f>SUM(H11:H47)</f>
        <v>0</v>
      </c>
      <c r="I10" s="362">
        <f>SUM(I11:I47)</f>
        <v>0</v>
      </c>
      <c r="J10" s="362">
        <f>SUM(J11:J47)</f>
        <v>0</v>
      </c>
      <c r="K10" s="359"/>
      <c r="L10" s="359"/>
      <c r="M10" s="359"/>
      <c r="N10" s="359"/>
      <c r="O10" s="362">
        <f>SUM(O11:O47)</f>
        <v>0</v>
      </c>
      <c r="P10" s="87"/>
    </row>
    <row r="11" spans="2:16" ht="18">
      <c r="B11" s="363">
        <v>1</v>
      </c>
      <c r="C11" s="364" t="s">
        <v>2657</v>
      </c>
      <c r="D11" s="363">
        <v>0</v>
      </c>
      <c r="E11" s="365">
        <v>0</v>
      </c>
      <c r="F11" s="363">
        <v>0</v>
      </c>
      <c r="G11" s="366">
        <v>0</v>
      </c>
      <c r="H11" s="366">
        <v>0</v>
      </c>
      <c r="I11" s="366">
        <v>0</v>
      </c>
      <c r="J11" s="366">
        <v>0</v>
      </c>
      <c r="K11" s="365">
        <v>0</v>
      </c>
      <c r="L11" s="363">
        <v>0</v>
      </c>
      <c r="M11" s="367">
        <v>0</v>
      </c>
      <c r="N11" s="363">
        <v>0</v>
      </c>
      <c r="O11" s="368">
        <v>0</v>
      </c>
      <c r="P11" s="87"/>
    </row>
    <row r="12" spans="2:16" ht="18">
      <c r="B12" s="363"/>
      <c r="C12" s="364"/>
      <c r="D12" s="363"/>
      <c r="E12" s="365"/>
      <c r="F12" s="363"/>
      <c r="G12" s="366"/>
      <c r="H12" s="366"/>
      <c r="I12" s="366"/>
      <c r="J12" s="366"/>
      <c r="K12" s="365"/>
      <c r="L12" s="363"/>
      <c r="M12" s="367"/>
      <c r="N12" s="363"/>
      <c r="O12" s="368"/>
      <c r="P12" s="87"/>
    </row>
    <row r="13" spans="2:16" ht="18">
      <c r="B13" s="363"/>
      <c r="C13" s="364"/>
      <c r="D13" s="363"/>
      <c r="E13" s="365"/>
      <c r="F13" s="363"/>
      <c r="G13" s="366"/>
      <c r="H13" s="366"/>
      <c r="I13" s="366"/>
      <c r="J13" s="366"/>
      <c r="K13" s="365"/>
      <c r="L13" s="363"/>
      <c r="M13" s="367"/>
      <c r="N13" s="363"/>
      <c r="O13" s="368"/>
      <c r="P13" s="87"/>
    </row>
    <row r="14" spans="2:16" ht="18">
      <c r="B14" s="363"/>
      <c r="C14" s="364"/>
      <c r="D14" s="363"/>
      <c r="E14" s="365"/>
      <c r="F14" s="363"/>
      <c r="G14" s="366"/>
      <c r="H14" s="366"/>
      <c r="I14" s="366"/>
      <c r="J14" s="366"/>
      <c r="K14" s="365"/>
      <c r="L14" s="363"/>
      <c r="M14" s="367"/>
      <c r="N14" s="363"/>
      <c r="O14" s="368"/>
      <c r="P14" s="87"/>
    </row>
    <row r="15" spans="2:16" ht="18">
      <c r="B15" s="363"/>
      <c r="C15" s="364"/>
      <c r="D15" s="363"/>
      <c r="E15" s="365"/>
      <c r="F15" s="363"/>
      <c r="G15" s="366"/>
      <c r="H15" s="366"/>
      <c r="I15" s="366"/>
      <c r="J15" s="366"/>
      <c r="K15" s="365"/>
      <c r="L15" s="363"/>
      <c r="M15" s="367"/>
      <c r="N15" s="363"/>
      <c r="O15" s="368"/>
      <c r="P15" s="87"/>
    </row>
    <row r="16" spans="2:16" ht="18">
      <c r="B16" s="363"/>
      <c r="C16" s="364"/>
      <c r="D16" s="363"/>
      <c r="E16" s="365"/>
      <c r="F16" s="363"/>
      <c r="G16" s="366"/>
      <c r="H16" s="366"/>
      <c r="I16" s="366"/>
      <c r="J16" s="366"/>
      <c r="K16" s="365"/>
      <c r="L16" s="363"/>
      <c r="M16" s="367"/>
      <c r="N16" s="363"/>
      <c r="O16" s="368"/>
      <c r="P16" s="87"/>
    </row>
    <row r="17" spans="2:16" ht="18">
      <c r="B17" s="363"/>
      <c r="C17" s="364"/>
      <c r="D17" s="363"/>
      <c r="E17" s="365"/>
      <c r="F17" s="363"/>
      <c r="G17" s="366"/>
      <c r="H17" s="366"/>
      <c r="I17" s="366"/>
      <c r="J17" s="366"/>
      <c r="K17" s="365"/>
      <c r="L17" s="363"/>
      <c r="M17" s="367"/>
      <c r="N17" s="363"/>
      <c r="O17" s="368"/>
    </row>
    <row r="18" spans="2:16" ht="18">
      <c r="B18" s="363"/>
      <c r="C18" s="364"/>
      <c r="D18" s="363"/>
      <c r="E18" s="365"/>
      <c r="F18" s="363"/>
      <c r="G18" s="366"/>
      <c r="H18" s="366"/>
      <c r="I18" s="366"/>
      <c r="J18" s="366"/>
      <c r="K18" s="365"/>
      <c r="L18" s="363"/>
      <c r="M18" s="367"/>
      <c r="N18" s="363"/>
      <c r="O18" s="368"/>
      <c r="P18" s="87"/>
    </row>
    <row r="19" spans="2:16" ht="18">
      <c r="B19" s="363"/>
      <c r="C19" s="364"/>
      <c r="D19" s="363"/>
      <c r="E19" s="365"/>
      <c r="F19" s="363"/>
      <c r="G19" s="366"/>
      <c r="H19" s="366"/>
      <c r="I19" s="366"/>
      <c r="J19" s="366"/>
      <c r="K19" s="365"/>
      <c r="L19" s="363"/>
      <c r="M19" s="367"/>
      <c r="N19" s="363"/>
      <c r="O19" s="368"/>
      <c r="P19" s="87"/>
    </row>
    <row r="20" spans="2:16" ht="18">
      <c r="B20" s="363"/>
      <c r="C20" s="364"/>
      <c r="D20" s="363"/>
      <c r="E20" s="365"/>
      <c r="F20" s="363"/>
      <c r="G20" s="366"/>
      <c r="H20" s="366"/>
      <c r="I20" s="366"/>
      <c r="J20" s="366"/>
      <c r="K20" s="365"/>
      <c r="L20" s="363"/>
      <c r="M20" s="367"/>
      <c r="N20" s="363"/>
      <c r="O20" s="368"/>
      <c r="P20" s="87"/>
    </row>
    <row r="21" spans="2:16" ht="18">
      <c r="B21" s="363"/>
      <c r="C21" s="364"/>
      <c r="D21" s="363"/>
      <c r="E21" s="365"/>
      <c r="F21" s="363"/>
      <c r="G21" s="366"/>
      <c r="H21" s="366"/>
      <c r="I21" s="366"/>
      <c r="J21" s="366"/>
      <c r="K21" s="365"/>
      <c r="L21" s="363"/>
      <c r="M21" s="367"/>
      <c r="N21" s="363"/>
      <c r="O21" s="368"/>
      <c r="P21" s="87"/>
    </row>
    <row r="22" spans="2:16" ht="18">
      <c r="B22" s="363"/>
      <c r="C22" s="364"/>
      <c r="D22" s="363"/>
      <c r="E22" s="365"/>
      <c r="F22" s="363"/>
      <c r="G22" s="366"/>
      <c r="H22" s="366"/>
      <c r="I22" s="366"/>
      <c r="J22" s="366"/>
      <c r="K22" s="365"/>
      <c r="L22" s="363"/>
      <c r="M22" s="367"/>
      <c r="N22" s="363"/>
      <c r="O22" s="368"/>
      <c r="P22" s="87"/>
    </row>
    <row r="23" spans="2:16" ht="18">
      <c r="B23" s="363"/>
      <c r="C23" s="364"/>
      <c r="D23" s="363"/>
      <c r="E23" s="365"/>
      <c r="F23" s="363"/>
      <c r="G23" s="366"/>
      <c r="H23" s="366"/>
      <c r="I23" s="366"/>
      <c r="J23" s="366"/>
      <c r="K23" s="365"/>
      <c r="L23" s="363"/>
      <c r="M23" s="367"/>
      <c r="N23" s="363"/>
      <c r="O23" s="368"/>
      <c r="P23" s="87"/>
    </row>
    <row r="24" spans="2:16" ht="18">
      <c r="B24" s="363"/>
      <c r="C24" s="364"/>
      <c r="D24" s="363"/>
      <c r="E24" s="365"/>
      <c r="F24" s="363"/>
      <c r="G24" s="366"/>
      <c r="H24" s="366"/>
      <c r="I24" s="366"/>
      <c r="J24" s="366"/>
      <c r="K24" s="365"/>
      <c r="L24" s="363"/>
      <c r="M24" s="367"/>
      <c r="N24" s="363"/>
      <c r="O24" s="368"/>
      <c r="P24" s="87"/>
    </row>
    <row r="25" spans="2:16" ht="18">
      <c r="B25" s="363"/>
      <c r="C25" s="364"/>
      <c r="D25" s="363"/>
      <c r="E25" s="365"/>
      <c r="F25" s="363"/>
      <c r="G25" s="366"/>
      <c r="H25" s="366"/>
      <c r="I25" s="366"/>
      <c r="J25" s="366"/>
      <c r="K25" s="365"/>
      <c r="L25" s="363"/>
      <c r="M25" s="367"/>
      <c r="N25" s="363"/>
      <c r="O25" s="368"/>
      <c r="P25" s="87"/>
    </row>
    <row r="26" spans="2:16" ht="18">
      <c r="B26" s="363"/>
      <c r="C26" s="364"/>
      <c r="D26" s="363"/>
      <c r="E26" s="365"/>
      <c r="F26" s="363"/>
      <c r="G26" s="366"/>
      <c r="H26" s="366"/>
      <c r="I26" s="366"/>
      <c r="J26" s="366"/>
      <c r="K26" s="365"/>
      <c r="L26" s="363"/>
      <c r="M26" s="367"/>
      <c r="N26" s="363"/>
      <c r="O26" s="368"/>
      <c r="P26" s="87"/>
    </row>
    <row r="27" spans="2:16" ht="18">
      <c r="B27" s="363"/>
      <c r="C27" s="364"/>
      <c r="D27" s="363"/>
      <c r="E27" s="365"/>
      <c r="F27" s="363"/>
      <c r="G27" s="366"/>
      <c r="H27" s="366"/>
      <c r="I27" s="366"/>
      <c r="J27" s="366"/>
      <c r="K27" s="365"/>
      <c r="L27" s="363"/>
      <c r="M27" s="367"/>
      <c r="N27" s="363"/>
      <c r="O27" s="368"/>
      <c r="P27" s="87"/>
    </row>
    <row r="28" spans="2:16" ht="18">
      <c r="B28" s="363"/>
      <c r="C28" s="364"/>
      <c r="D28" s="363"/>
      <c r="E28" s="365"/>
      <c r="F28" s="363"/>
      <c r="G28" s="366"/>
      <c r="H28" s="366"/>
      <c r="I28" s="366"/>
      <c r="J28" s="366"/>
      <c r="K28" s="365"/>
      <c r="L28" s="363"/>
      <c r="M28" s="367"/>
      <c r="N28" s="363"/>
      <c r="O28" s="368"/>
      <c r="P28" s="87"/>
    </row>
    <row r="29" spans="2:16" ht="18">
      <c r="B29" s="363"/>
      <c r="C29" s="364"/>
      <c r="D29" s="363"/>
      <c r="E29" s="365"/>
      <c r="F29" s="363"/>
      <c r="G29" s="366"/>
      <c r="H29" s="366"/>
      <c r="I29" s="366"/>
      <c r="J29" s="366"/>
      <c r="K29" s="365"/>
      <c r="L29" s="363"/>
      <c r="M29" s="367"/>
      <c r="N29" s="363"/>
      <c r="O29" s="368"/>
      <c r="P29" s="87"/>
    </row>
    <row r="30" spans="2:16" ht="18">
      <c r="B30" s="363"/>
      <c r="C30" s="364"/>
      <c r="D30" s="363"/>
      <c r="E30" s="365"/>
      <c r="F30" s="363"/>
      <c r="G30" s="366"/>
      <c r="H30" s="366"/>
      <c r="I30" s="366"/>
      <c r="J30" s="366"/>
      <c r="K30" s="365"/>
      <c r="L30" s="363"/>
      <c r="M30" s="367"/>
      <c r="N30" s="363"/>
      <c r="O30" s="368"/>
      <c r="P30" s="87"/>
    </row>
    <row r="31" spans="2:16" ht="18">
      <c r="B31" s="363"/>
      <c r="C31" s="364"/>
      <c r="D31" s="363"/>
      <c r="E31" s="365"/>
      <c r="F31" s="363"/>
      <c r="G31" s="366"/>
      <c r="H31" s="366"/>
      <c r="I31" s="366"/>
      <c r="J31" s="366"/>
      <c r="K31" s="365"/>
      <c r="L31" s="363"/>
      <c r="M31" s="367"/>
      <c r="N31" s="363"/>
      <c r="O31" s="368"/>
      <c r="P31" s="87"/>
    </row>
    <row r="32" spans="2:16" ht="18">
      <c r="B32" s="363"/>
      <c r="C32" s="364"/>
      <c r="D32" s="363"/>
      <c r="E32" s="365"/>
      <c r="F32" s="363"/>
      <c r="G32" s="366"/>
      <c r="H32" s="366"/>
      <c r="I32" s="366"/>
      <c r="J32" s="366"/>
      <c r="K32" s="365"/>
      <c r="L32" s="363"/>
      <c r="M32" s="367"/>
      <c r="N32" s="363"/>
      <c r="O32" s="368"/>
      <c r="P32" s="87"/>
    </row>
    <row r="33" spans="2:16" ht="18">
      <c r="B33" s="363"/>
      <c r="C33" s="364"/>
      <c r="D33" s="363"/>
      <c r="E33" s="365"/>
      <c r="F33" s="363"/>
      <c r="G33" s="366"/>
      <c r="H33" s="366"/>
      <c r="I33" s="366"/>
      <c r="J33" s="366"/>
      <c r="K33" s="365"/>
      <c r="L33" s="363"/>
      <c r="M33" s="367"/>
      <c r="N33" s="363"/>
      <c r="O33" s="368"/>
      <c r="P33" s="87"/>
    </row>
    <row r="34" spans="2:16" ht="18">
      <c r="B34" s="363"/>
      <c r="C34" s="364"/>
      <c r="D34" s="363"/>
      <c r="E34" s="365"/>
      <c r="F34" s="363"/>
      <c r="G34" s="366"/>
      <c r="H34" s="366"/>
      <c r="I34" s="366"/>
      <c r="J34" s="366"/>
      <c r="K34" s="365"/>
      <c r="L34" s="363"/>
      <c r="M34" s="367"/>
      <c r="N34" s="363"/>
      <c r="O34" s="368"/>
      <c r="P34" s="87"/>
    </row>
    <row r="35" spans="2:16" ht="18">
      <c r="B35" s="363"/>
      <c r="C35" s="364"/>
      <c r="D35" s="363"/>
      <c r="E35" s="365"/>
      <c r="F35" s="363"/>
      <c r="G35" s="366"/>
      <c r="H35" s="366"/>
      <c r="I35" s="366"/>
      <c r="J35" s="366"/>
      <c r="K35" s="365"/>
      <c r="L35" s="363"/>
      <c r="M35" s="367"/>
      <c r="N35" s="363"/>
      <c r="O35" s="368"/>
      <c r="P35" s="87"/>
    </row>
    <row r="36" spans="2:16" ht="18">
      <c r="B36" s="363"/>
      <c r="C36" s="364"/>
      <c r="D36" s="363"/>
      <c r="E36" s="365"/>
      <c r="F36" s="363"/>
      <c r="G36" s="366"/>
      <c r="H36" s="366"/>
      <c r="I36" s="366"/>
      <c r="J36" s="366"/>
      <c r="K36" s="365"/>
      <c r="L36" s="363"/>
      <c r="M36" s="367"/>
      <c r="N36" s="363"/>
      <c r="O36" s="368"/>
      <c r="P36" s="87"/>
    </row>
    <row r="37" spans="2:16" ht="18">
      <c r="B37" s="363"/>
      <c r="C37" s="364"/>
      <c r="D37" s="363"/>
      <c r="E37" s="365"/>
      <c r="F37" s="363"/>
      <c r="G37" s="366"/>
      <c r="H37" s="366"/>
      <c r="I37" s="366"/>
      <c r="J37" s="366"/>
      <c r="K37" s="365"/>
      <c r="L37" s="363"/>
      <c r="M37" s="367"/>
      <c r="N37" s="363"/>
      <c r="O37" s="368"/>
      <c r="P37" s="87"/>
    </row>
    <row r="38" spans="2:16" ht="18">
      <c r="B38" s="363"/>
      <c r="C38" s="364"/>
      <c r="D38" s="363"/>
      <c r="E38" s="365"/>
      <c r="F38" s="363"/>
      <c r="G38" s="366"/>
      <c r="H38" s="366"/>
      <c r="I38" s="366"/>
      <c r="J38" s="366"/>
      <c r="K38" s="365"/>
      <c r="L38" s="363"/>
      <c r="M38" s="367"/>
      <c r="N38" s="363"/>
      <c r="O38" s="368"/>
      <c r="P38" s="87"/>
    </row>
    <row r="39" spans="2:16" ht="18">
      <c r="B39" s="363"/>
      <c r="C39" s="364"/>
      <c r="D39" s="363"/>
      <c r="E39" s="365"/>
      <c r="F39" s="363"/>
      <c r="G39" s="366"/>
      <c r="H39" s="366"/>
      <c r="I39" s="366"/>
      <c r="J39" s="366"/>
      <c r="K39" s="365"/>
      <c r="L39" s="363"/>
      <c r="M39" s="367"/>
      <c r="N39" s="363"/>
      <c r="O39" s="368"/>
      <c r="P39" s="87"/>
    </row>
    <row r="40" spans="2:16" ht="18">
      <c r="B40" s="363"/>
      <c r="C40" s="364"/>
      <c r="D40" s="363"/>
      <c r="E40" s="365"/>
      <c r="F40" s="363"/>
      <c r="G40" s="366"/>
      <c r="H40" s="366"/>
      <c r="I40" s="366"/>
      <c r="J40" s="366"/>
      <c r="K40" s="365"/>
      <c r="L40" s="363"/>
      <c r="M40" s="367"/>
      <c r="N40" s="363"/>
      <c r="O40" s="368"/>
      <c r="P40" s="87"/>
    </row>
    <row r="41" spans="2:16" ht="18">
      <c r="B41" s="363"/>
      <c r="C41" s="364"/>
      <c r="D41" s="363"/>
      <c r="E41" s="365"/>
      <c r="F41" s="363"/>
      <c r="G41" s="366"/>
      <c r="H41" s="366"/>
      <c r="I41" s="366"/>
      <c r="J41" s="366"/>
      <c r="K41" s="365"/>
      <c r="L41" s="363"/>
      <c r="M41" s="367"/>
      <c r="N41" s="363"/>
      <c r="O41" s="368"/>
      <c r="P41" s="87"/>
    </row>
    <row r="42" spans="2:16" ht="18">
      <c r="B42" s="363"/>
      <c r="C42" s="364"/>
      <c r="D42" s="363"/>
      <c r="E42" s="365"/>
      <c r="F42" s="363"/>
      <c r="G42" s="366"/>
      <c r="H42" s="366"/>
      <c r="I42" s="366"/>
      <c r="J42" s="366"/>
      <c r="K42" s="365"/>
      <c r="L42" s="363"/>
      <c r="M42" s="367"/>
      <c r="N42" s="363"/>
      <c r="O42" s="368"/>
      <c r="P42" s="87"/>
    </row>
    <row r="43" spans="2:16" ht="18">
      <c r="B43" s="363"/>
      <c r="C43" s="364"/>
      <c r="D43" s="363"/>
      <c r="E43" s="365"/>
      <c r="F43" s="363"/>
      <c r="G43" s="366"/>
      <c r="H43" s="366"/>
      <c r="I43" s="366"/>
      <c r="J43" s="366"/>
      <c r="K43" s="365"/>
      <c r="L43" s="363"/>
      <c r="M43" s="367"/>
      <c r="N43" s="363"/>
      <c r="O43" s="368"/>
    </row>
    <row r="44" spans="2:16" ht="18">
      <c r="B44" s="363"/>
      <c r="C44" s="364"/>
      <c r="D44" s="363"/>
      <c r="E44" s="365"/>
      <c r="F44" s="363"/>
      <c r="G44" s="366"/>
      <c r="H44" s="366"/>
      <c r="I44" s="366"/>
      <c r="J44" s="366"/>
      <c r="K44" s="365"/>
      <c r="L44" s="363"/>
      <c r="M44" s="367"/>
      <c r="N44" s="363"/>
      <c r="O44" s="368"/>
    </row>
    <row r="45" spans="2:16" ht="18">
      <c r="B45" s="363"/>
      <c r="C45" s="364"/>
      <c r="D45" s="363"/>
      <c r="E45" s="365"/>
      <c r="F45" s="363"/>
      <c r="G45" s="366"/>
      <c r="H45" s="366"/>
      <c r="I45" s="366"/>
      <c r="J45" s="366"/>
      <c r="K45" s="365"/>
      <c r="L45" s="363"/>
      <c r="M45" s="367"/>
      <c r="N45" s="363"/>
      <c r="O45" s="368"/>
    </row>
    <row r="46" spans="2:16" ht="18">
      <c r="B46" s="363"/>
      <c r="C46" s="364"/>
      <c r="D46" s="363"/>
      <c r="E46" s="365"/>
      <c r="F46" s="363"/>
      <c r="G46" s="366"/>
      <c r="H46" s="366"/>
      <c r="I46" s="366"/>
      <c r="J46" s="366"/>
      <c r="K46" s="365"/>
      <c r="L46" s="363"/>
      <c r="M46" s="367"/>
      <c r="N46" s="363"/>
      <c r="O46" s="368"/>
    </row>
    <row r="47" spans="2:16" ht="18">
      <c r="B47" s="363"/>
      <c r="C47" s="364"/>
      <c r="D47" s="363"/>
      <c r="E47" s="365"/>
      <c r="F47" s="363"/>
      <c r="G47" s="366"/>
      <c r="H47" s="366"/>
      <c r="I47" s="366"/>
      <c r="J47" s="366"/>
      <c r="K47" s="365"/>
      <c r="L47" s="363"/>
      <c r="M47" s="367"/>
      <c r="N47" s="363"/>
      <c r="O47" s="368"/>
    </row>
  </sheetData>
  <sheetProtection password="E9D4" sheet="1" objects="1" scenarios="1"/>
  <mergeCells count="3">
    <mergeCell ref="B6:C7"/>
    <mergeCell ref="D6:O6"/>
    <mergeCell ref="M1:O1"/>
  </mergeCells>
  <pageMargins left="0.2" right="0.21" top="0.39370078740157483" bottom="0.39370078740157483" header="0.19685039370078741" footer="0.19685039370078741"/>
  <pageSetup paperSize="9" scale="59" orientation="landscape" r:id="rId1"/>
  <headerFooter alignWithMargins="0">
    <oddFooter>&amp;L&amp;7&amp;D&amp;C&amp;7&amp;P&amp;R&amp;7&amp;F</oddFooter>
  </headerFooter>
</worksheet>
</file>

<file path=xl/worksheets/sheet45.xml><?xml version="1.0" encoding="utf-8"?>
<worksheet xmlns="http://schemas.openxmlformats.org/spreadsheetml/2006/main" xmlns:r="http://schemas.openxmlformats.org/officeDocument/2006/relationships">
  <sheetPr codeName="Лист47"/>
  <dimension ref="B1:P38"/>
  <sheetViews>
    <sheetView zoomScale="85" zoomScaleNormal="85" workbookViewId="0"/>
  </sheetViews>
  <sheetFormatPr defaultRowHeight="18"/>
  <cols>
    <col min="1" max="1" width="0.5703125" style="939" customWidth="1"/>
    <col min="2" max="2" width="10.7109375" style="939" bestFit="1" customWidth="1"/>
    <col min="3" max="3" width="31.28515625" style="939" customWidth="1"/>
    <col min="4" max="6" width="17.7109375" style="939" customWidth="1"/>
    <col min="7" max="7" width="16.7109375" style="939" customWidth="1"/>
    <col min="8" max="8" width="17.7109375" style="939" customWidth="1"/>
    <col min="9" max="9" width="16.7109375" style="939" customWidth="1"/>
    <col min="10" max="10" width="17.7109375" style="939" customWidth="1"/>
    <col min="11" max="11" width="16.7109375" style="939" customWidth="1"/>
    <col min="12" max="12" width="17.7109375" style="939" customWidth="1"/>
    <col min="13" max="13" width="16.7109375" style="939" customWidth="1"/>
    <col min="14" max="14" width="17.7109375" style="939" customWidth="1"/>
    <col min="15" max="16" width="16.7109375" style="939" customWidth="1"/>
    <col min="17" max="16384" width="9.140625" style="939"/>
  </cols>
  <sheetData>
    <row r="1" spans="2:16" s="928" customFormat="1" ht="27.75" customHeight="1">
      <c r="B1" s="926"/>
      <c r="C1" s="927"/>
      <c r="D1" s="926"/>
      <c r="E1" s="926"/>
      <c r="F1" s="926"/>
      <c r="G1" s="926"/>
      <c r="H1" s="926"/>
      <c r="I1" s="926"/>
      <c r="J1" s="926"/>
      <c r="K1" s="926"/>
      <c r="L1" s="926"/>
      <c r="N1" s="1275" t="s">
        <v>2270</v>
      </c>
      <c r="O1" s="1275"/>
      <c r="P1" s="1275"/>
    </row>
    <row r="2" spans="2:16" s="928" customFormat="1">
      <c r="B2" s="926"/>
      <c r="C2" s="930" t="str">
        <f>T!E18</f>
        <v>Номгӯи ташкилоти қарзӣ</v>
      </c>
      <c r="D2" s="931"/>
      <c r="E2" s="931"/>
      <c r="F2" s="931"/>
      <c r="G2" s="931"/>
      <c r="H2" s="931"/>
      <c r="I2" s="931"/>
      <c r="J2" s="926"/>
      <c r="K2" s="1058"/>
      <c r="L2" s="926"/>
      <c r="M2" s="926"/>
      <c r="N2" s="926"/>
      <c r="O2" s="929"/>
    </row>
    <row r="3" spans="2:16" s="928" customFormat="1">
      <c r="B3" s="926"/>
      <c r="C3" s="1273" t="str">
        <f>T!B10</f>
        <v>Ҳисобот дар санаи</v>
      </c>
      <c r="D3" s="1273"/>
      <c r="E3" s="1055"/>
      <c r="F3" s="931"/>
      <c r="G3" s="931"/>
      <c r="H3" s="931"/>
      <c r="I3" s="931"/>
      <c r="J3" s="926"/>
      <c r="K3" s="926"/>
      <c r="L3" s="926"/>
      <c r="M3" s="926"/>
      <c r="N3" s="926"/>
      <c r="O3" s="929"/>
    </row>
    <row r="4" spans="2:16" s="928" customFormat="1">
      <c r="B4" s="932"/>
      <c r="C4" s="1274" t="str">
        <f>'List of Scedules'!B44</f>
        <v>ҶАДВАЛИ 22.01. ТАСНИФИ ДОРОИҲО АЗ РӮИ СОҲАҲО БО ПУЛИ МИЛЛӢ</v>
      </c>
      <c r="D4" s="1274"/>
      <c r="E4" s="1274"/>
      <c r="F4" s="1274"/>
      <c r="G4" s="1274"/>
      <c r="H4" s="1274"/>
      <c r="I4" s="1274"/>
      <c r="J4" s="933"/>
      <c r="K4" s="933"/>
      <c r="L4" s="933"/>
      <c r="M4" s="933"/>
      <c r="N4" s="933"/>
      <c r="O4" s="934"/>
    </row>
    <row r="5" spans="2:16">
      <c r="B5" s="935"/>
      <c r="C5" s="935"/>
      <c r="D5" s="936"/>
      <c r="E5" s="936"/>
      <c r="F5" s="936"/>
      <c r="G5" s="936"/>
      <c r="H5" s="936"/>
      <c r="I5" s="937"/>
      <c r="J5" s="937"/>
      <c r="K5" s="937"/>
      <c r="L5" s="937"/>
      <c r="M5" s="937"/>
      <c r="N5" s="937"/>
      <c r="O5" s="938"/>
    </row>
    <row r="6" spans="2:16" ht="54">
      <c r="B6" s="1049"/>
      <c r="C6" s="1050" t="s">
        <v>1659</v>
      </c>
      <c r="D6" s="940" t="s">
        <v>1321</v>
      </c>
      <c r="E6" s="240" t="s">
        <v>2210</v>
      </c>
      <c r="F6" s="240" t="s">
        <v>1683</v>
      </c>
      <c r="G6" s="241" t="s">
        <v>2199</v>
      </c>
      <c r="H6" s="240" t="s">
        <v>2084</v>
      </c>
      <c r="I6" s="241" t="s">
        <v>2199</v>
      </c>
      <c r="J6" s="240" t="s">
        <v>1684</v>
      </c>
      <c r="K6" s="241" t="s">
        <v>2200</v>
      </c>
      <c r="L6" s="240" t="s">
        <v>1097</v>
      </c>
      <c r="M6" s="241" t="s">
        <v>2200</v>
      </c>
      <c r="N6" s="240" t="s">
        <v>1750</v>
      </c>
      <c r="O6" s="241" t="s">
        <v>2200</v>
      </c>
      <c r="P6" s="1051" t="s">
        <v>2085</v>
      </c>
    </row>
    <row r="7" spans="2:16">
      <c r="B7" s="1049"/>
      <c r="C7" s="1050">
        <v>1</v>
      </c>
      <c r="D7" s="940">
        <v>2</v>
      </c>
      <c r="E7" s="1050">
        <v>3</v>
      </c>
      <c r="F7" s="940">
        <v>4</v>
      </c>
      <c r="G7" s="1050">
        <v>5</v>
      </c>
      <c r="H7" s="940">
        <v>6</v>
      </c>
      <c r="I7" s="1050">
        <v>7</v>
      </c>
      <c r="J7" s="940">
        <v>8</v>
      </c>
      <c r="K7" s="1050">
        <v>9</v>
      </c>
      <c r="L7" s="940">
        <v>10</v>
      </c>
      <c r="M7" s="1050">
        <v>11</v>
      </c>
      <c r="N7" s="940">
        <v>12</v>
      </c>
      <c r="O7" s="1050">
        <v>13</v>
      </c>
      <c r="P7" s="940">
        <v>14</v>
      </c>
    </row>
    <row r="8" spans="2:16">
      <c r="B8" s="941" t="s">
        <v>2088</v>
      </c>
      <c r="C8" s="942" t="s">
        <v>2086</v>
      </c>
      <c r="D8" s="953">
        <f t="shared" ref="D8:E10" si="0">F8+H8+J8+L8+N8</f>
        <v>0</v>
      </c>
      <c r="E8" s="953">
        <f t="shared" si="0"/>
        <v>0</v>
      </c>
      <c r="F8" s="953">
        <f>F9+F23</f>
        <v>0</v>
      </c>
      <c r="G8" s="953">
        <f t="shared" ref="G8:P8" si="1">G9+G23</f>
        <v>0</v>
      </c>
      <c r="H8" s="953">
        <f t="shared" si="1"/>
        <v>0</v>
      </c>
      <c r="I8" s="953">
        <f t="shared" si="1"/>
        <v>0</v>
      </c>
      <c r="J8" s="953">
        <f t="shared" si="1"/>
        <v>0</v>
      </c>
      <c r="K8" s="953">
        <f t="shared" si="1"/>
        <v>0</v>
      </c>
      <c r="L8" s="953">
        <f t="shared" si="1"/>
        <v>0</v>
      </c>
      <c r="M8" s="953">
        <f t="shared" si="1"/>
        <v>0</v>
      </c>
      <c r="N8" s="953">
        <f t="shared" si="1"/>
        <v>0</v>
      </c>
      <c r="O8" s="953">
        <f t="shared" si="1"/>
        <v>0</v>
      </c>
      <c r="P8" s="953">
        <f t="shared" si="1"/>
        <v>0</v>
      </c>
    </row>
    <row r="9" spans="2:16">
      <c r="B9" s="941" t="s">
        <v>2089</v>
      </c>
      <c r="C9" s="943" t="s">
        <v>1465</v>
      </c>
      <c r="D9" s="953">
        <f t="shared" si="0"/>
        <v>0</v>
      </c>
      <c r="E9" s="953">
        <f t="shared" si="0"/>
        <v>0</v>
      </c>
      <c r="F9" s="953">
        <f>SUM(F10:F22)</f>
        <v>0</v>
      </c>
      <c r="G9" s="953">
        <f t="shared" ref="G9:P9" si="2">SUM(G10:G22)</f>
        <v>0</v>
      </c>
      <c r="H9" s="953">
        <f t="shared" si="2"/>
        <v>0</v>
      </c>
      <c r="I9" s="953">
        <f t="shared" si="2"/>
        <v>0</v>
      </c>
      <c r="J9" s="953">
        <f t="shared" si="2"/>
        <v>0</v>
      </c>
      <c r="K9" s="953">
        <f t="shared" si="2"/>
        <v>0</v>
      </c>
      <c r="L9" s="953">
        <f t="shared" si="2"/>
        <v>0</v>
      </c>
      <c r="M9" s="953">
        <f t="shared" si="2"/>
        <v>0</v>
      </c>
      <c r="N9" s="953">
        <f t="shared" si="2"/>
        <v>0</v>
      </c>
      <c r="O9" s="953">
        <f t="shared" si="2"/>
        <v>0</v>
      </c>
      <c r="P9" s="953">
        <f t="shared" si="2"/>
        <v>0</v>
      </c>
    </row>
    <row r="10" spans="2:16">
      <c r="B10" s="941" t="s">
        <v>2090</v>
      </c>
      <c r="C10" s="944" t="s">
        <v>1256</v>
      </c>
      <c r="D10" s="953">
        <f t="shared" si="0"/>
        <v>0</v>
      </c>
      <c r="E10" s="953">
        <f t="shared" si="0"/>
        <v>0</v>
      </c>
      <c r="F10" s="992">
        <v>0</v>
      </c>
      <c r="G10" s="992">
        <v>0</v>
      </c>
      <c r="H10" s="992">
        <v>0</v>
      </c>
      <c r="I10" s="992">
        <v>0</v>
      </c>
      <c r="J10" s="992">
        <v>0</v>
      </c>
      <c r="K10" s="992">
        <v>0</v>
      </c>
      <c r="L10" s="992">
        <v>0</v>
      </c>
      <c r="M10" s="992">
        <v>0</v>
      </c>
      <c r="N10" s="992">
        <v>0</v>
      </c>
      <c r="O10" s="992">
        <v>0</v>
      </c>
      <c r="P10" s="992">
        <v>0</v>
      </c>
    </row>
    <row r="11" spans="2:16">
      <c r="B11" s="941" t="s">
        <v>2091</v>
      </c>
      <c r="C11" s="945" t="s">
        <v>1469</v>
      </c>
      <c r="D11" s="953">
        <f t="shared" ref="D11:E37" si="3">F11+H11+J11+L11+N11</f>
        <v>0</v>
      </c>
      <c r="E11" s="953">
        <f t="shared" si="3"/>
        <v>0</v>
      </c>
      <c r="F11" s="992">
        <v>0</v>
      </c>
      <c r="G11" s="992">
        <v>0</v>
      </c>
      <c r="H11" s="992">
        <v>0</v>
      </c>
      <c r="I11" s="992">
        <v>0</v>
      </c>
      <c r="J11" s="992">
        <v>0</v>
      </c>
      <c r="K11" s="992">
        <v>0</v>
      </c>
      <c r="L11" s="992">
        <v>0</v>
      </c>
      <c r="M11" s="992">
        <v>0</v>
      </c>
      <c r="N11" s="992">
        <v>0</v>
      </c>
      <c r="O11" s="992">
        <v>0</v>
      </c>
      <c r="P11" s="992">
        <v>0</v>
      </c>
    </row>
    <row r="12" spans="2:16">
      <c r="B12" s="941" t="s">
        <v>2092</v>
      </c>
      <c r="C12" s="946" t="s">
        <v>1161</v>
      </c>
      <c r="D12" s="953">
        <f t="shared" si="3"/>
        <v>0</v>
      </c>
      <c r="E12" s="953">
        <f t="shared" si="3"/>
        <v>0</v>
      </c>
      <c r="F12" s="992">
        <v>0</v>
      </c>
      <c r="G12" s="992">
        <v>0</v>
      </c>
      <c r="H12" s="992">
        <v>0</v>
      </c>
      <c r="I12" s="992">
        <v>0</v>
      </c>
      <c r="J12" s="992">
        <v>0</v>
      </c>
      <c r="K12" s="992">
        <v>0</v>
      </c>
      <c r="L12" s="992">
        <v>0</v>
      </c>
      <c r="M12" s="992">
        <v>0</v>
      </c>
      <c r="N12" s="992">
        <v>0</v>
      </c>
      <c r="O12" s="992">
        <v>0</v>
      </c>
      <c r="P12" s="992">
        <v>0</v>
      </c>
    </row>
    <row r="13" spans="2:16">
      <c r="B13" s="941" t="s">
        <v>2093</v>
      </c>
      <c r="C13" s="947" t="s">
        <v>1732</v>
      </c>
      <c r="D13" s="953">
        <f t="shared" si="3"/>
        <v>0</v>
      </c>
      <c r="E13" s="953">
        <f t="shared" si="3"/>
        <v>0</v>
      </c>
      <c r="F13" s="992">
        <v>0</v>
      </c>
      <c r="G13" s="992">
        <v>0</v>
      </c>
      <c r="H13" s="992">
        <v>0</v>
      </c>
      <c r="I13" s="992">
        <v>0</v>
      </c>
      <c r="J13" s="992">
        <v>0</v>
      </c>
      <c r="K13" s="992">
        <v>0</v>
      </c>
      <c r="L13" s="992">
        <v>0</v>
      </c>
      <c r="M13" s="992">
        <v>0</v>
      </c>
      <c r="N13" s="992">
        <v>0</v>
      </c>
      <c r="O13" s="992">
        <v>0</v>
      </c>
      <c r="P13" s="992">
        <v>0</v>
      </c>
    </row>
    <row r="14" spans="2:16">
      <c r="B14" s="941" t="s">
        <v>2094</v>
      </c>
      <c r="C14" s="948" t="s">
        <v>1733</v>
      </c>
      <c r="D14" s="953">
        <f t="shared" si="3"/>
        <v>0</v>
      </c>
      <c r="E14" s="953">
        <f t="shared" si="3"/>
        <v>0</v>
      </c>
      <c r="F14" s="992">
        <v>0</v>
      </c>
      <c r="G14" s="992">
        <v>0</v>
      </c>
      <c r="H14" s="992">
        <v>0</v>
      </c>
      <c r="I14" s="992">
        <v>0</v>
      </c>
      <c r="J14" s="992">
        <v>0</v>
      </c>
      <c r="K14" s="992">
        <v>0</v>
      </c>
      <c r="L14" s="992">
        <v>0</v>
      </c>
      <c r="M14" s="992">
        <v>0</v>
      </c>
      <c r="N14" s="992">
        <v>0</v>
      </c>
      <c r="O14" s="992">
        <v>0</v>
      </c>
      <c r="P14" s="992">
        <v>0</v>
      </c>
    </row>
    <row r="15" spans="2:16">
      <c r="B15" s="941" t="s">
        <v>2095</v>
      </c>
      <c r="C15" s="945" t="s">
        <v>1734</v>
      </c>
      <c r="D15" s="953">
        <f t="shared" si="3"/>
        <v>0</v>
      </c>
      <c r="E15" s="953">
        <f t="shared" si="3"/>
        <v>0</v>
      </c>
      <c r="F15" s="992">
        <v>0</v>
      </c>
      <c r="G15" s="992">
        <v>0</v>
      </c>
      <c r="H15" s="992">
        <v>0</v>
      </c>
      <c r="I15" s="992">
        <v>0</v>
      </c>
      <c r="J15" s="992">
        <v>0</v>
      </c>
      <c r="K15" s="992">
        <v>0</v>
      </c>
      <c r="L15" s="992">
        <v>0</v>
      </c>
      <c r="M15" s="992">
        <v>0</v>
      </c>
      <c r="N15" s="992">
        <v>0</v>
      </c>
      <c r="O15" s="992">
        <v>0</v>
      </c>
      <c r="P15" s="992">
        <v>0</v>
      </c>
    </row>
    <row r="16" spans="2:16">
      <c r="B16" s="941" t="s">
        <v>2096</v>
      </c>
      <c r="C16" s="946" t="s">
        <v>1257</v>
      </c>
      <c r="D16" s="953">
        <f t="shared" si="3"/>
        <v>0</v>
      </c>
      <c r="E16" s="953">
        <f t="shared" si="3"/>
        <v>0</v>
      </c>
      <c r="F16" s="992">
        <v>0</v>
      </c>
      <c r="G16" s="992">
        <v>0</v>
      </c>
      <c r="H16" s="992">
        <v>0</v>
      </c>
      <c r="I16" s="992">
        <v>0</v>
      </c>
      <c r="J16" s="992">
        <v>0</v>
      </c>
      <c r="K16" s="992">
        <v>0</v>
      </c>
      <c r="L16" s="992">
        <v>0</v>
      </c>
      <c r="M16" s="992">
        <v>0</v>
      </c>
      <c r="N16" s="992">
        <v>0</v>
      </c>
      <c r="O16" s="992">
        <v>0</v>
      </c>
      <c r="P16" s="992">
        <v>0</v>
      </c>
    </row>
    <row r="17" spans="2:16">
      <c r="B17" s="941" t="s">
        <v>2097</v>
      </c>
      <c r="C17" s="946" t="s">
        <v>1735</v>
      </c>
      <c r="D17" s="953">
        <f t="shared" si="3"/>
        <v>0</v>
      </c>
      <c r="E17" s="953">
        <f t="shared" si="3"/>
        <v>0</v>
      </c>
      <c r="F17" s="992">
        <v>0</v>
      </c>
      <c r="G17" s="992">
        <v>0</v>
      </c>
      <c r="H17" s="992">
        <v>0</v>
      </c>
      <c r="I17" s="992">
        <v>0</v>
      </c>
      <c r="J17" s="992">
        <v>0</v>
      </c>
      <c r="K17" s="992">
        <v>0</v>
      </c>
      <c r="L17" s="992">
        <v>0</v>
      </c>
      <c r="M17" s="992">
        <v>0</v>
      </c>
      <c r="N17" s="992">
        <v>0</v>
      </c>
      <c r="O17" s="992">
        <v>0</v>
      </c>
      <c r="P17" s="992">
        <v>0</v>
      </c>
    </row>
    <row r="18" spans="2:16">
      <c r="B18" s="941" t="s">
        <v>2098</v>
      </c>
      <c r="C18" s="947" t="s">
        <v>1736</v>
      </c>
      <c r="D18" s="953">
        <f t="shared" si="3"/>
        <v>0</v>
      </c>
      <c r="E18" s="953">
        <f t="shared" si="3"/>
        <v>0</v>
      </c>
      <c r="F18" s="992">
        <v>0</v>
      </c>
      <c r="G18" s="992">
        <v>0</v>
      </c>
      <c r="H18" s="992">
        <v>0</v>
      </c>
      <c r="I18" s="992">
        <v>0</v>
      </c>
      <c r="J18" s="992">
        <v>0</v>
      </c>
      <c r="K18" s="992">
        <v>0</v>
      </c>
      <c r="L18" s="992">
        <v>0</v>
      </c>
      <c r="M18" s="992">
        <v>0</v>
      </c>
      <c r="N18" s="992">
        <v>0</v>
      </c>
      <c r="O18" s="992">
        <v>0</v>
      </c>
      <c r="P18" s="992">
        <v>0</v>
      </c>
    </row>
    <row r="19" spans="2:16">
      <c r="B19" s="941" t="s">
        <v>2099</v>
      </c>
      <c r="C19" s="947" t="s">
        <v>1737</v>
      </c>
      <c r="D19" s="953">
        <f t="shared" si="3"/>
        <v>0</v>
      </c>
      <c r="E19" s="953">
        <f t="shared" si="3"/>
        <v>0</v>
      </c>
      <c r="F19" s="992">
        <v>0</v>
      </c>
      <c r="G19" s="992">
        <v>0</v>
      </c>
      <c r="H19" s="992">
        <v>0</v>
      </c>
      <c r="I19" s="992">
        <v>0</v>
      </c>
      <c r="J19" s="992">
        <v>0</v>
      </c>
      <c r="K19" s="992">
        <v>0</v>
      </c>
      <c r="L19" s="992">
        <v>0</v>
      </c>
      <c r="M19" s="992">
        <v>0</v>
      </c>
      <c r="N19" s="992">
        <v>0</v>
      </c>
      <c r="O19" s="992">
        <v>0</v>
      </c>
      <c r="P19" s="992">
        <v>0</v>
      </c>
    </row>
    <row r="20" spans="2:16">
      <c r="B20" s="941" t="s">
        <v>2100</v>
      </c>
      <c r="C20" s="947" t="s">
        <v>1258</v>
      </c>
      <c r="D20" s="953">
        <f t="shared" si="3"/>
        <v>0</v>
      </c>
      <c r="E20" s="953">
        <f t="shared" si="3"/>
        <v>0</v>
      </c>
      <c r="F20" s="992">
        <v>0</v>
      </c>
      <c r="G20" s="992">
        <v>0</v>
      </c>
      <c r="H20" s="992">
        <v>0</v>
      </c>
      <c r="I20" s="992">
        <v>0</v>
      </c>
      <c r="J20" s="992">
        <v>0</v>
      </c>
      <c r="K20" s="992">
        <v>0</v>
      </c>
      <c r="L20" s="992">
        <v>0</v>
      </c>
      <c r="M20" s="992">
        <v>0</v>
      </c>
      <c r="N20" s="992">
        <v>0</v>
      </c>
      <c r="O20" s="992">
        <v>0</v>
      </c>
      <c r="P20" s="992">
        <v>0</v>
      </c>
    </row>
    <row r="21" spans="2:16">
      <c r="B21" s="941" t="s">
        <v>2101</v>
      </c>
      <c r="C21" s="947" t="s">
        <v>1738</v>
      </c>
      <c r="D21" s="953">
        <f t="shared" si="3"/>
        <v>0</v>
      </c>
      <c r="E21" s="953">
        <f t="shared" si="3"/>
        <v>0</v>
      </c>
      <c r="F21" s="992">
        <v>0</v>
      </c>
      <c r="G21" s="992">
        <v>0</v>
      </c>
      <c r="H21" s="992">
        <v>0</v>
      </c>
      <c r="I21" s="992">
        <v>0</v>
      </c>
      <c r="J21" s="992">
        <v>0</v>
      </c>
      <c r="K21" s="992">
        <v>0</v>
      </c>
      <c r="L21" s="992">
        <v>0</v>
      </c>
      <c r="M21" s="992">
        <v>0</v>
      </c>
      <c r="N21" s="992">
        <v>0</v>
      </c>
      <c r="O21" s="992">
        <v>0</v>
      </c>
      <c r="P21" s="992">
        <v>0</v>
      </c>
    </row>
    <row r="22" spans="2:16">
      <c r="B22" s="941" t="s">
        <v>2102</v>
      </c>
      <c r="C22" s="947" t="s">
        <v>1768</v>
      </c>
      <c r="D22" s="953">
        <f t="shared" si="3"/>
        <v>0</v>
      </c>
      <c r="E22" s="953">
        <f t="shared" si="3"/>
        <v>0</v>
      </c>
      <c r="F22" s="992">
        <v>0</v>
      </c>
      <c r="G22" s="992">
        <v>0</v>
      </c>
      <c r="H22" s="992">
        <v>0</v>
      </c>
      <c r="I22" s="992">
        <v>0</v>
      </c>
      <c r="J22" s="992">
        <v>0</v>
      </c>
      <c r="K22" s="992">
        <v>0</v>
      </c>
      <c r="L22" s="992">
        <v>0</v>
      </c>
      <c r="M22" s="992">
        <v>0</v>
      </c>
      <c r="N22" s="992">
        <v>0</v>
      </c>
      <c r="O22" s="992">
        <v>0</v>
      </c>
      <c r="P22" s="992">
        <v>0</v>
      </c>
    </row>
    <row r="23" spans="2:16">
      <c r="B23" s="941" t="s">
        <v>2103</v>
      </c>
      <c r="C23" s="949" t="s">
        <v>1472</v>
      </c>
      <c r="D23" s="953">
        <f t="shared" si="3"/>
        <v>0</v>
      </c>
      <c r="E23" s="953">
        <f t="shared" si="3"/>
        <v>0</v>
      </c>
      <c r="F23" s="992">
        <v>0</v>
      </c>
      <c r="G23" s="992">
        <v>0</v>
      </c>
      <c r="H23" s="992">
        <v>0</v>
      </c>
      <c r="I23" s="992">
        <v>0</v>
      </c>
      <c r="J23" s="992">
        <v>0</v>
      </c>
      <c r="K23" s="992">
        <v>0</v>
      </c>
      <c r="L23" s="992">
        <v>0</v>
      </c>
      <c r="M23" s="992">
        <v>0</v>
      </c>
      <c r="N23" s="992">
        <v>0</v>
      </c>
      <c r="O23" s="992">
        <v>0</v>
      </c>
      <c r="P23" s="992">
        <v>0</v>
      </c>
    </row>
    <row r="24" spans="2:16">
      <c r="B24" s="941" t="s">
        <v>2104</v>
      </c>
      <c r="C24" s="950" t="s">
        <v>1542</v>
      </c>
      <c r="D24" s="953">
        <f t="shared" si="3"/>
        <v>0</v>
      </c>
      <c r="E24" s="953">
        <f t="shared" si="3"/>
        <v>0</v>
      </c>
      <c r="F24" s="953">
        <f>SUM(F25:F37)</f>
        <v>0</v>
      </c>
      <c r="G24" s="953">
        <f t="shared" ref="G24:P24" si="4">SUM(G25:G37)</f>
        <v>0</v>
      </c>
      <c r="H24" s="953">
        <f t="shared" si="4"/>
        <v>0</v>
      </c>
      <c r="I24" s="953">
        <f t="shared" si="4"/>
        <v>0</v>
      </c>
      <c r="J24" s="953">
        <f t="shared" si="4"/>
        <v>0</v>
      </c>
      <c r="K24" s="953">
        <f t="shared" si="4"/>
        <v>0</v>
      </c>
      <c r="L24" s="953">
        <f t="shared" si="4"/>
        <v>0</v>
      </c>
      <c r="M24" s="953">
        <f t="shared" si="4"/>
        <v>0</v>
      </c>
      <c r="N24" s="953">
        <f t="shared" si="4"/>
        <v>0</v>
      </c>
      <c r="O24" s="953">
        <f t="shared" si="4"/>
        <v>0</v>
      </c>
      <c r="P24" s="953">
        <f t="shared" si="4"/>
        <v>0</v>
      </c>
    </row>
    <row r="25" spans="2:16">
      <c r="B25" s="941" t="s">
        <v>2105</v>
      </c>
      <c r="C25" s="944" t="s">
        <v>1256</v>
      </c>
      <c r="D25" s="953">
        <f t="shared" si="3"/>
        <v>0</v>
      </c>
      <c r="E25" s="953">
        <f t="shared" si="3"/>
        <v>0</v>
      </c>
      <c r="F25" s="992">
        <v>0</v>
      </c>
      <c r="G25" s="992">
        <v>0</v>
      </c>
      <c r="H25" s="992">
        <v>0</v>
      </c>
      <c r="I25" s="992">
        <v>0</v>
      </c>
      <c r="J25" s="992">
        <v>0</v>
      </c>
      <c r="K25" s="992">
        <v>0</v>
      </c>
      <c r="L25" s="992">
        <v>0</v>
      </c>
      <c r="M25" s="992">
        <v>0</v>
      </c>
      <c r="N25" s="992">
        <v>0</v>
      </c>
      <c r="O25" s="992">
        <v>0</v>
      </c>
      <c r="P25" s="992">
        <v>0</v>
      </c>
    </row>
    <row r="26" spans="2:16">
      <c r="B26" s="941" t="s">
        <v>2106</v>
      </c>
      <c r="C26" s="945" t="s">
        <v>1469</v>
      </c>
      <c r="D26" s="953">
        <f t="shared" si="3"/>
        <v>0</v>
      </c>
      <c r="E26" s="953">
        <f t="shared" si="3"/>
        <v>0</v>
      </c>
      <c r="F26" s="992">
        <v>0</v>
      </c>
      <c r="G26" s="992">
        <v>0</v>
      </c>
      <c r="H26" s="992">
        <v>0</v>
      </c>
      <c r="I26" s="992">
        <v>0</v>
      </c>
      <c r="J26" s="992">
        <v>0</v>
      </c>
      <c r="K26" s="992">
        <v>0</v>
      </c>
      <c r="L26" s="992">
        <v>0</v>
      </c>
      <c r="M26" s="992">
        <v>0</v>
      </c>
      <c r="N26" s="992">
        <v>0</v>
      </c>
      <c r="O26" s="992">
        <v>0</v>
      </c>
      <c r="P26" s="992">
        <v>0</v>
      </c>
    </row>
    <row r="27" spans="2:16">
      <c r="B27" s="941" t="s">
        <v>2107</v>
      </c>
      <c r="C27" s="946" t="s">
        <v>1161</v>
      </c>
      <c r="D27" s="953">
        <f t="shared" si="3"/>
        <v>0</v>
      </c>
      <c r="E27" s="953">
        <f t="shared" si="3"/>
        <v>0</v>
      </c>
      <c r="F27" s="992">
        <v>0</v>
      </c>
      <c r="G27" s="992">
        <v>0</v>
      </c>
      <c r="H27" s="992">
        <v>0</v>
      </c>
      <c r="I27" s="992">
        <v>0</v>
      </c>
      <c r="J27" s="992">
        <v>0</v>
      </c>
      <c r="K27" s="992">
        <v>0</v>
      </c>
      <c r="L27" s="992">
        <v>0</v>
      </c>
      <c r="M27" s="992">
        <v>0</v>
      </c>
      <c r="N27" s="992">
        <v>0</v>
      </c>
      <c r="O27" s="992">
        <v>0</v>
      </c>
      <c r="P27" s="992">
        <v>0</v>
      </c>
    </row>
    <row r="28" spans="2:16">
      <c r="B28" s="941" t="s">
        <v>2108</v>
      </c>
      <c r="C28" s="947" t="s">
        <v>1732</v>
      </c>
      <c r="D28" s="953">
        <f t="shared" si="3"/>
        <v>0</v>
      </c>
      <c r="E28" s="953">
        <f t="shared" si="3"/>
        <v>0</v>
      </c>
      <c r="F28" s="992">
        <v>0</v>
      </c>
      <c r="G28" s="992">
        <v>0</v>
      </c>
      <c r="H28" s="992">
        <v>0</v>
      </c>
      <c r="I28" s="992">
        <v>0</v>
      </c>
      <c r="J28" s="992">
        <v>0</v>
      </c>
      <c r="K28" s="992">
        <v>0</v>
      </c>
      <c r="L28" s="992">
        <v>0</v>
      </c>
      <c r="M28" s="992">
        <v>0</v>
      </c>
      <c r="N28" s="992">
        <v>0</v>
      </c>
      <c r="O28" s="992">
        <v>0</v>
      </c>
      <c r="P28" s="992">
        <v>0</v>
      </c>
    </row>
    <row r="29" spans="2:16">
      <c r="B29" s="941" t="s">
        <v>2109</v>
      </c>
      <c r="C29" s="948" t="s">
        <v>1733</v>
      </c>
      <c r="D29" s="953">
        <f t="shared" si="3"/>
        <v>0</v>
      </c>
      <c r="E29" s="953">
        <f t="shared" si="3"/>
        <v>0</v>
      </c>
      <c r="F29" s="992">
        <v>0</v>
      </c>
      <c r="G29" s="992">
        <v>0</v>
      </c>
      <c r="H29" s="992">
        <v>0</v>
      </c>
      <c r="I29" s="992">
        <v>0</v>
      </c>
      <c r="J29" s="992">
        <v>0</v>
      </c>
      <c r="K29" s="992">
        <v>0</v>
      </c>
      <c r="L29" s="992">
        <v>0</v>
      </c>
      <c r="M29" s="992">
        <v>0</v>
      </c>
      <c r="N29" s="992">
        <v>0</v>
      </c>
      <c r="O29" s="992">
        <v>0</v>
      </c>
      <c r="P29" s="992">
        <v>0</v>
      </c>
    </row>
    <row r="30" spans="2:16">
      <c r="B30" s="941" t="s">
        <v>2110</v>
      </c>
      <c r="C30" s="945" t="s">
        <v>1734</v>
      </c>
      <c r="D30" s="953">
        <f t="shared" si="3"/>
        <v>0</v>
      </c>
      <c r="E30" s="953">
        <f t="shared" si="3"/>
        <v>0</v>
      </c>
      <c r="F30" s="992">
        <v>0</v>
      </c>
      <c r="G30" s="992">
        <v>0</v>
      </c>
      <c r="H30" s="992">
        <v>0</v>
      </c>
      <c r="I30" s="992">
        <v>0</v>
      </c>
      <c r="J30" s="992">
        <v>0</v>
      </c>
      <c r="K30" s="992">
        <v>0</v>
      </c>
      <c r="L30" s="992">
        <v>0</v>
      </c>
      <c r="M30" s="992">
        <v>0</v>
      </c>
      <c r="N30" s="992">
        <v>0</v>
      </c>
      <c r="O30" s="992">
        <v>0</v>
      </c>
      <c r="P30" s="992">
        <v>0</v>
      </c>
    </row>
    <row r="31" spans="2:16">
      <c r="B31" s="941" t="s">
        <v>2111</v>
      </c>
      <c r="C31" s="946" t="s">
        <v>1257</v>
      </c>
      <c r="D31" s="953">
        <f t="shared" si="3"/>
        <v>0</v>
      </c>
      <c r="E31" s="953">
        <f t="shared" si="3"/>
        <v>0</v>
      </c>
      <c r="F31" s="992">
        <v>0</v>
      </c>
      <c r="G31" s="992">
        <v>0</v>
      </c>
      <c r="H31" s="992">
        <v>0</v>
      </c>
      <c r="I31" s="992">
        <v>0</v>
      </c>
      <c r="J31" s="992">
        <v>0</v>
      </c>
      <c r="K31" s="992">
        <v>0</v>
      </c>
      <c r="L31" s="992">
        <v>0</v>
      </c>
      <c r="M31" s="992">
        <v>0</v>
      </c>
      <c r="N31" s="992">
        <v>0</v>
      </c>
      <c r="O31" s="992">
        <v>0</v>
      </c>
      <c r="P31" s="992">
        <v>0</v>
      </c>
    </row>
    <row r="32" spans="2:16">
      <c r="B32" s="941" t="s">
        <v>2112</v>
      </c>
      <c r="C32" s="946" t="s">
        <v>1735</v>
      </c>
      <c r="D32" s="953">
        <f t="shared" si="3"/>
        <v>0</v>
      </c>
      <c r="E32" s="953">
        <f t="shared" si="3"/>
        <v>0</v>
      </c>
      <c r="F32" s="992">
        <v>0</v>
      </c>
      <c r="G32" s="992">
        <v>0</v>
      </c>
      <c r="H32" s="992">
        <v>0</v>
      </c>
      <c r="I32" s="992">
        <v>0</v>
      </c>
      <c r="J32" s="992">
        <v>0</v>
      </c>
      <c r="K32" s="992">
        <v>0</v>
      </c>
      <c r="L32" s="992">
        <v>0</v>
      </c>
      <c r="M32" s="992">
        <v>0</v>
      </c>
      <c r="N32" s="992">
        <v>0</v>
      </c>
      <c r="O32" s="992">
        <v>0</v>
      </c>
      <c r="P32" s="992">
        <v>0</v>
      </c>
    </row>
    <row r="33" spans="2:16">
      <c r="B33" s="941" t="s">
        <v>2113</v>
      </c>
      <c r="C33" s="947" t="s">
        <v>1736</v>
      </c>
      <c r="D33" s="953">
        <f t="shared" si="3"/>
        <v>0</v>
      </c>
      <c r="E33" s="953">
        <f t="shared" si="3"/>
        <v>0</v>
      </c>
      <c r="F33" s="992">
        <v>0</v>
      </c>
      <c r="G33" s="992">
        <v>0</v>
      </c>
      <c r="H33" s="992">
        <v>0</v>
      </c>
      <c r="I33" s="992">
        <v>0</v>
      </c>
      <c r="J33" s="992">
        <v>0</v>
      </c>
      <c r="K33" s="992">
        <v>0</v>
      </c>
      <c r="L33" s="992">
        <v>0</v>
      </c>
      <c r="M33" s="992">
        <v>0</v>
      </c>
      <c r="N33" s="992">
        <v>0</v>
      </c>
      <c r="O33" s="992">
        <v>0</v>
      </c>
      <c r="P33" s="992">
        <v>0</v>
      </c>
    </row>
    <row r="34" spans="2:16">
      <c r="B34" s="941" t="s">
        <v>2114</v>
      </c>
      <c r="C34" s="947" t="s">
        <v>1737</v>
      </c>
      <c r="D34" s="953">
        <f t="shared" si="3"/>
        <v>0</v>
      </c>
      <c r="E34" s="953">
        <f t="shared" si="3"/>
        <v>0</v>
      </c>
      <c r="F34" s="992">
        <v>0</v>
      </c>
      <c r="G34" s="992">
        <v>0</v>
      </c>
      <c r="H34" s="992">
        <v>0</v>
      </c>
      <c r="I34" s="992">
        <v>0</v>
      </c>
      <c r="J34" s="992">
        <v>0</v>
      </c>
      <c r="K34" s="992">
        <v>0</v>
      </c>
      <c r="L34" s="992">
        <v>0</v>
      </c>
      <c r="M34" s="992">
        <v>0</v>
      </c>
      <c r="N34" s="992">
        <v>0</v>
      </c>
      <c r="O34" s="992">
        <v>0</v>
      </c>
      <c r="P34" s="992">
        <v>0</v>
      </c>
    </row>
    <row r="35" spans="2:16">
      <c r="B35" s="941" t="s">
        <v>2115</v>
      </c>
      <c r="C35" s="947" t="s">
        <v>1258</v>
      </c>
      <c r="D35" s="953">
        <f t="shared" si="3"/>
        <v>0</v>
      </c>
      <c r="E35" s="953">
        <f t="shared" si="3"/>
        <v>0</v>
      </c>
      <c r="F35" s="992">
        <v>0</v>
      </c>
      <c r="G35" s="992">
        <v>0</v>
      </c>
      <c r="H35" s="992">
        <v>0</v>
      </c>
      <c r="I35" s="992">
        <v>0</v>
      </c>
      <c r="J35" s="992">
        <v>0</v>
      </c>
      <c r="K35" s="992">
        <v>0</v>
      </c>
      <c r="L35" s="992">
        <v>0</v>
      </c>
      <c r="M35" s="992">
        <v>0</v>
      </c>
      <c r="N35" s="992">
        <v>0</v>
      </c>
      <c r="O35" s="992">
        <v>0</v>
      </c>
      <c r="P35" s="992">
        <v>0</v>
      </c>
    </row>
    <row r="36" spans="2:16">
      <c r="B36" s="941" t="s">
        <v>2116</v>
      </c>
      <c r="C36" s="947" t="s">
        <v>1738</v>
      </c>
      <c r="D36" s="953">
        <f t="shared" si="3"/>
        <v>0</v>
      </c>
      <c r="E36" s="953">
        <f t="shared" si="3"/>
        <v>0</v>
      </c>
      <c r="F36" s="992">
        <v>0</v>
      </c>
      <c r="G36" s="992">
        <v>0</v>
      </c>
      <c r="H36" s="992">
        <v>0</v>
      </c>
      <c r="I36" s="992">
        <v>0</v>
      </c>
      <c r="J36" s="992">
        <v>0</v>
      </c>
      <c r="K36" s="992">
        <v>0</v>
      </c>
      <c r="L36" s="992">
        <v>0</v>
      </c>
      <c r="M36" s="992">
        <v>0</v>
      </c>
      <c r="N36" s="992">
        <v>0</v>
      </c>
      <c r="O36" s="992">
        <v>0</v>
      </c>
      <c r="P36" s="992">
        <v>0</v>
      </c>
    </row>
    <row r="37" spans="2:16">
      <c r="B37" s="941" t="s">
        <v>2117</v>
      </c>
      <c r="C37" s="947" t="s">
        <v>1768</v>
      </c>
      <c r="D37" s="953">
        <f t="shared" si="3"/>
        <v>0</v>
      </c>
      <c r="E37" s="953">
        <f t="shared" si="3"/>
        <v>0</v>
      </c>
      <c r="F37" s="992">
        <v>0</v>
      </c>
      <c r="G37" s="992">
        <v>0</v>
      </c>
      <c r="H37" s="992">
        <v>0</v>
      </c>
      <c r="I37" s="992">
        <v>0</v>
      </c>
      <c r="J37" s="992">
        <v>0</v>
      </c>
      <c r="K37" s="992">
        <v>0</v>
      </c>
      <c r="L37" s="992">
        <v>0</v>
      </c>
      <c r="M37" s="992">
        <v>0</v>
      </c>
      <c r="N37" s="992">
        <v>0</v>
      </c>
      <c r="O37" s="992">
        <v>0</v>
      </c>
      <c r="P37" s="992">
        <v>0</v>
      </c>
    </row>
    <row r="38" spans="2:16">
      <c r="B38" s="941" t="s">
        <v>2118</v>
      </c>
      <c r="C38" s="951" t="s">
        <v>1321</v>
      </c>
      <c r="D38" s="953">
        <f>D8+D24</f>
        <v>0</v>
      </c>
      <c r="E38" s="953">
        <f>E8+E24</f>
        <v>0</v>
      </c>
      <c r="F38" s="953">
        <f>F8+F24</f>
        <v>0</v>
      </c>
      <c r="G38" s="953">
        <f t="shared" ref="G38:P38" si="5">G8+G24</f>
        <v>0</v>
      </c>
      <c r="H38" s="953">
        <f t="shared" si="5"/>
        <v>0</v>
      </c>
      <c r="I38" s="953">
        <f t="shared" si="5"/>
        <v>0</v>
      </c>
      <c r="J38" s="953">
        <f t="shared" si="5"/>
        <v>0</v>
      </c>
      <c r="K38" s="953">
        <f t="shared" si="5"/>
        <v>0</v>
      </c>
      <c r="L38" s="953">
        <f t="shared" si="5"/>
        <v>0</v>
      </c>
      <c r="M38" s="953">
        <f t="shared" si="5"/>
        <v>0</v>
      </c>
      <c r="N38" s="953">
        <f t="shared" si="5"/>
        <v>0</v>
      </c>
      <c r="O38" s="953">
        <f t="shared" si="5"/>
        <v>0</v>
      </c>
      <c r="P38" s="953">
        <f t="shared" si="5"/>
        <v>0</v>
      </c>
    </row>
  </sheetData>
  <sheetProtection password="E9D4" sheet="1" objects="1" scenarios="1"/>
  <mergeCells count="3">
    <mergeCell ref="C3:D3"/>
    <mergeCell ref="C4:I4"/>
    <mergeCell ref="N1:P1"/>
  </mergeCells>
  <pageMargins left="0.2" right="0.11" top="0.36" bottom="0.19" header="0.15748031496062992" footer="0.15"/>
  <pageSetup paperSize="9" scale="55" orientation="landscape" r:id="rId1"/>
</worksheet>
</file>

<file path=xl/worksheets/sheet46.xml><?xml version="1.0" encoding="utf-8"?>
<worksheet xmlns="http://schemas.openxmlformats.org/spreadsheetml/2006/main" xmlns:r="http://schemas.openxmlformats.org/officeDocument/2006/relationships">
  <sheetPr codeName="Лист48"/>
  <dimension ref="B1:P38"/>
  <sheetViews>
    <sheetView workbookViewId="0"/>
  </sheetViews>
  <sheetFormatPr defaultRowHeight="18"/>
  <cols>
    <col min="1" max="1" width="0.85546875" style="939" customWidth="1"/>
    <col min="2" max="2" width="10.7109375" style="939" bestFit="1" customWidth="1"/>
    <col min="3" max="3" width="31.28515625" style="939" customWidth="1"/>
    <col min="4" max="6" width="17.7109375" style="939" customWidth="1"/>
    <col min="7" max="7" width="16.7109375" style="939" customWidth="1"/>
    <col min="8" max="8" width="17.7109375" style="939" customWidth="1"/>
    <col min="9" max="9" width="16.7109375" style="939" customWidth="1"/>
    <col min="10" max="10" width="17.7109375" style="939" customWidth="1"/>
    <col min="11" max="11" width="16.7109375" style="939" customWidth="1"/>
    <col min="12" max="12" width="17.7109375" style="939" customWidth="1"/>
    <col min="13" max="13" width="16.7109375" style="939" customWidth="1"/>
    <col min="14" max="14" width="17.7109375" style="939" customWidth="1"/>
    <col min="15" max="16" width="16.7109375" style="939" customWidth="1"/>
    <col min="17" max="16384" width="9.140625" style="939"/>
  </cols>
  <sheetData>
    <row r="1" spans="2:16" s="928" customFormat="1" ht="27.75" customHeight="1">
      <c r="B1" s="926"/>
      <c r="C1" s="927"/>
      <c r="D1" s="926"/>
      <c r="E1" s="926"/>
      <c r="F1" s="926"/>
      <c r="G1" s="926"/>
      <c r="H1" s="926"/>
      <c r="I1" s="926"/>
      <c r="J1" s="926"/>
      <c r="K1" s="926"/>
      <c r="L1" s="926"/>
      <c r="N1" s="1275" t="s">
        <v>2337</v>
      </c>
      <c r="O1" s="1275"/>
      <c r="P1" s="1275"/>
    </row>
    <row r="2" spans="2:16" s="928" customFormat="1">
      <c r="B2" s="926"/>
      <c r="C2" s="930" t="str">
        <f>T!E18</f>
        <v>Номгӯи ташкилоти қарзӣ</v>
      </c>
      <c r="D2" s="931"/>
      <c r="E2" s="931"/>
      <c r="F2" s="931"/>
      <c r="G2" s="931"/>
      <c r="H2" s="931"/>
      <c r="I2" s="931"/>
      <c r="J2" s="926"/>
      <c r="K2" s="1058"/>
      <c r="L2" s="926"/>
      <c r="M2" s="926"/>
      <c r="N2" s="926"/>
      <c r="O2" s="929"/>
    </row>
    <row r="3" spans="2:16" s="928" customFormat="1">
      <c r="B3" s="926"/>
      <c r="C3" s="1273" t="str">
        <f>T!B10</f>
        <v>Ҳисобот дар санаи</v>
      </c>
      <c r="D3" s="1273"/>
      <c r="E3" s="1055"/>
      <c r="F3" s="931"/>
      <c r="G3" s="931"/>
      <c r="H3" s="931"/>
      <c r="I3" s="931"/>
      <c r="J3" s="926"/>
      <c r="K3" s="926"/>
      <c r="L3" s="926"/>
      <c r="M3" s="926"/>
      <c r="N3" s="926"/>
      <c r="O3" s="929"/>
    </row>
    <row r="4" spans="2:16" s="928" customFormat="1">
      <c r="B4" s="932"/>
      <c r="C4" s="1274" t="str">
        <f>'List of Scedules'!B45</f>
        <v>ҶАДВАЛИ 22.02. ТАСНИФИ ДОРОИҲО АЗ РӮИ СОҲАҲО БО АСЪОРИ ХОРИҶӢ</v>
      </c>
      <c r="D4" s="1274"/>
      <c r="E4" s="1274"/>
      <c r="F4" s="1274"/>
      <c r="G4" s="1274"/>
      <c r="H4" s="1274"/>
      <c r="I4" s="1274"/>
      <c r="J4" s="933"/>
      <c r="K4" s="933"/>
      <c r="L4" s="933"/>
      <c r="M4" s="933"/>
      <c r="N4" s="933"/>
      <c r="O4" s="934"/>
    </row>
    <row r="5" spans="2:16">
      <c r="B5" s="935"/>
      <c r="C5" s="935"/>
      <c r="D5" s="936"/>
      <c r="E5" s="936"/>
      <c r="F5" s="936"/>
      <c r="G5" s="936"/>
      <c r="H5" s="936"/>
      <c r="I5" s="937"/>
      <c r="J5" s="937"/>
      <c r="K5" s="937"/>
      <c r="L5" s="937"/>
      <c r="M5" s="937"/>
      <c r="N5" s="937"/>
      <c r="O5" s="938"/>
    </row>
    <row r="6" spans="2:16" ht="54">
      <c r="B6" s="1049"/>
      <c r="C6" s="1050" t="s">
        <v>1659</v>
      </c>
      <c r="D6" s="940" t="s">
        <v>1321</v>
      </c>
      <c r="E6" s="240" t="s">
        <v>2210</v>
      </c>
      <c r="F6" s="240" t="s">
        <v>1683</v>
      </c>
      <c r="G6" s="241" t="s">
        <v>2199</v>
      </c>
      <c r="H6" s="240" t="s">
        <v>2084</v>
      </c>
      <c r="I6" s="241" t="s">
        <v>2199</v>
      </c>
      <c r="J6" s="240" t="s">
        <v>1684</v>
      </c>
      <c r="K6" s="241" t="s">
        <v>2200</v>
      </c>
      <c r="L6" s="240" t="s">
        <v>1097</v>
      </c>
      <c r="M6" s="241" t="s">
        <v>2200</v>
      </c>
      <c r="N6" s="240" t="s">
        <v>1750</v>
      </c>
      <c r="O6" s="241" t="s">
        <v>2200</v>
      </c>
      <c r="P6" s="1051" t="s">
        <v>2085</v>
      </c>
    </row>
    <row r="7" spans="2:16">
      <c r="B7" s="1049"/>
      <c r="C7" s="1050">
        <v>1</v>
      </c>
      <c r="D7" s="940">
        <v>2</v>
      </c>
      <c r="E7" s="1050">
        <v>3</v>
      </c>
      <c r="F7" s="940">
        <v>4</v>
      </c>
      <c r="G7" s="1050">
        <v>5</v>
      </c>
      <c r="H7" s="940">
        <v>6</v>
      </c>
      <c r="I7" s="1050">
        <v>7</v>
      </c>
      <c r="J7" s="940">
        <v>8</v>
      </c>
      <c r="K7" s="1050">
        <v>9</v>
      </c>
      <c r="L7" s="940">
        <v>10</v>
      </c>
      <c r="M7" s="1050">
        <v>11</v>
      </c>
      <c r="N7" s="940">
        <v>12</v>
      </c>
      <c r="O7" s="1050">
        <v>13</v>
      </c>
      <c r="P7" s="940">
        <v>14</v>
      </c>
    </row>
    <row r="8" spans="2:16">
      <c r="B8" s="941" t="s">
        <v>2088</v>
      </c>
      <c r="C8" s="942" t="s">
        <v>2086</v>
      </c>
      <c r="D8" s="953">
        <f t="shared" ref="D8:E10" si="0">F8+H8+J8+L8+N8</f>
        <v>0</v>
      </c>
      <c r="E8" s="953">
        <f t="shared" si="0"/>
        <v>0</v>
      </c>
      <c r="F8" s="953">
        <f>F9+F23</f>
        <v>0</v>
      </c>
      <c r="G8" s="953">
        <f t="shared" ref="G8:P8" si="1">G9+G23</f>
        <v>0</v>
      </c>
      <c r="H8" s="953">
        <f t="shared" si="1"/>
        <v>0</v>
      </c>
      <c r="I8" s="953">
        <f t="shared" si="1"/>
        <v>0</v>
      </c>
      <c r="J8" s="953">
        <f t="shared" si="1"/>
        <v>0</v>
      </c>
      <c r="K8" s="953">
        <f t="shared" si="1"/>
        <v>0</v>
      </c>
      <c r="L8" s="953">
        <f t="shared" si="1"/>
        <v>0</v>
      </c>
      <c r="M8" s="953">
        <f t="shared" si="1"/>
        <v>0</v>
      </c>
      <c r="N8" s="953">
        <f t="shared" si="1"/>
        <v>0</v>
      </c>
      <c r="O8" s="953">
        <f t="shared" si="1"/>
        <v>0</v>
      </c>
      <c r="P8" s="953">
        <f t="shared" si="1"/>
        <v>0</v>
      </c>
    </row>
    <row r="9" spans="2:16">
      <c r="B9" s="941" t="s">
        <v>2089</v>
      </c>
      <c r="C9" s="943" t="s">
        <v>1465</v>
      </c>
      <c r="D9" s="953">
        <f t="shared" si="0"/>
        <v>0</v>
      </c>
      <c r="E9" s="953">
        <f t="shared" si="0"/>
        <v>0</v>
      </c>
      <c r="F9" s="953">
        <f>SUM(F10:F22)</f>
        <v>0</v>
      </c>
      <c r="G9" s="953">
        <f t="shared" ref="G9:P9" si="2">SUM(G10:G22)</f>
        <v>0</v>
      </c>
      <c r="H9" s="953">
        <f t="shared" si="2"/>
        <v>0</v>
      </c>
      <c r="I9" s="953">
        <f t="shared" si="2"/>
        <v>0</v>
      </c>
      <c r="J9" s="953">
        <f t="shared" si="2"/>
        <v>0</v>
      </c>
      <c r="K9" s="953">
        <f t="shared" si="2"/>
        <v>0</v>
      </c>
      <c r="L9" s="953">
        <f t="shared" si="2"/>
        <v>0</v>
      </c>
      <c r="M9" s="953">
        <f t="shared" si="2"/>
        <v>0</v>
      </c>
      <c r="N9" s="953">
        <f t="shared" si="2"/>
        <v>0</v>
      </c>
      <c r="O9" s="953">
        <f t="shared" si="2"/>
        <v>0</v>
      </c>
      <c r="P9" s="953">
        <f t="shared" si="2"/>
        <v>0</v>
      </c>
    </row>
    <row r="10" spans="2:16">
      <c r="B10" s="941" t="s">
        <v>2090</v>
      </c>
      <c r="C10" s="944" t="s">
        <v>1256</v>
      </c>
      <c r="D10" s="953">
        <f t="shared" si="0"/>
        <v>0</v>
      </c>
      <c r="E10" s="953">
        <f t="shared" si="0"/>
        <v>0</v>
      </c>
      <c r="F10" s="992">
        <v>0</v>
      </c>
      <c r="G10" s="992">
        <v>0</v>
      </c>
      <c r="H10" s="992">
        <v>0</v>
      </c>
      <c r="I10" s="992">
        <v>0</v>
      </c>
      <c r="J10" s="992">
        <v>0</v>
      </c>
      <c r="K10" s="992">
        <v>0</v>
      </c>
      <c r="L10" s="992">
        <v>0</v>
      </c>
      <c r="M10" s="992">
        <v>0</v>
      </c>
      <c r="N10" s="992">
        <v>0</v>
      </c>
      <c r="O10" s="992">
        <v>0</v>
      </c>
      <c r="P10" s="992">
        <v>0</v>
      </c>
    </row>
    <row r="11" spans="2:16">
      <c r="B11" s="941" t="s">
        <v>2091</v>
      </c>
      <c r="C11" s="945" t="s">
        <v>1469</v>
      </c>
      <c r="D11" s="953">
        <f t="shared" ref="D11:E37" si="3">F11+H11+J11+L11+N11</f>
        <v>0</v>
      </c>
      <c r="E11" s="953">
        <f t="shared" si="3"/>
        <v>0</v>
      </c>
      <c r="F11" s="992">
        <v>0</v>
      </c>
      <c r="G11" s="992">
        <v>0</v>
      </c>
      <c r="H11" s="992">
        <v>0</v>
      </c>
      <c r="I11" s="992">
        <v>0</v>
      </c>
      <c r="J11" s="992">
        <v>0</v>
      </c>
      <c r="K11" s="992">
        <v>0</v>
      </c>
      <c r="L11" s="992">
        <v>0</v>
      </c>
      <c r="M11" s="992">
        <v>0</v>
      </c>
      <c r="N11" s="992">
        <v>0</v>
      </c>
      <c r="O11" s="992">
        <v>0</v>
      </c>
      <c r="P11" s="992">
        <v>0</v>
      </c>
    </row>
    <row r="12" spans="2:16">
      <c r="B12" s="941" t="s">
        <v>2092</v>
      </c>
      <c r="C12" s="946" t="s">
        <v>1161</v>
      </c>
      <c r="D12" s="953">
        <f t="shared" si="3"/>
        <v>0</v>
      </c>
      <c r="E12" s="953">
        <f t="shared" si="3"/>
        <v>0</v>
      </c>
      <c r="F12" s="992">
        <v>0</v>
      </c>
      <c r="G12" s="992">
        <v>0</v>
      </c>
      <c r="H12" s="992">
        <v>0</v>
      </c>
      <c r="I12" s="992">
        <v>0</v>
      </c>
      <c r="J12" s="992">
        <v>0</v>
      </c>
      <c r="K12" s="992">
        <v>0</v>
      </c>
      <c r="L12" s="992">
        <v>0</v>
      </c>
      <c r="M12" s="992">
        <v>0</v>
      </c>
      <c r="N12" s="992">
        <v>0</v>
      </c>
      <c r="O12" s="992">
        <v>0</v>
      </c>
      <c r="P12" s="992">
        <v>0</v>
      </c>
    </row>
    <row r="13" spans="2:16">
      <c r="B13" s="941" t="s">
        <v>2093</v>
      </c>
      <c r="C13" s="947" t="s">
        <v>1732</v>
      </c>
      <c r="D13" s="953">
        <f t="shared" si="3"/>
        <v>0</v>
      </c>
      <c r="E13" s="953">
        <f t="shared" si="3"/>
        <v>0</v>
      </c>
      <c r="F13" s="992">
        <v>0</v>
      </c>
      <c r="G13" s="992">
        <v>0</v>
      </c>
      <c r="H13" s="992">
        <v>0</v>
      </c>
      <c r="I13" s="992">
        <v>0</v>
      </c>
      <c r="J13" s="992">
        <v>0</v>
      </c>
      <c r="K13" s="992">
        <v>0</v>
      </c>
      <c r="L13" s="992">
        <v>0</v>
      </c>
      <c r="M13" s="992">
        <v>0</v>
      </c>
      <c r="N13" s="992">
        <v>0</v>
      </c>
      <c r="O13" s="992">
        <v>0</v>
      </c>
      <c r="P13" s="992">
        <v>0</v>
      </c>
    </row>
    <row r="14" spans="2:16">
      <c r="B14" s="941" t="s">
        <v>2094</v>
      </c>
      <c r="C14" s="948" t="s">
        <v>1733</v>
      </c>
      <c r="D14" s="953">
        <f t="shared" si="3"/>
        <v>0</v>
      </c>
      <c r="E14" s="953">
        <f t="shared" si="3"/>
        <v>0</v>
      </c>
      <c r="F14" s="992">
        <v>0</v>
      </c>
      <c r="G14" s="992">
        <v>0</v>
      </c>
      <c r="H14" s="992">
        <v>0</v>
      </c>
      <c r="I14" s="992">
        <v>0</v>
      </c>
      <c r="J14" s="992">
        <v>0</v>
      </c>
      <c r="K14" s="992">
        <v>0</v>
      </c>
      <c r="L14" s="992">
        <v>0</v>
      </c>
      <c r="M14" s="992">
        <v>0</v>
      </c>
      <c r="N14" s="992">
        <v>0</v>
      </c>
      <c r="O14" s="992">
        <v>0</v>
      </c>
      <c r="P14" s="992">
        <v>0</v>
      </c>
    </row>
    <row r="15" spans="2:16">
      <c r="B15" s="941" t="s">
        <v>2095</v>
      </c>
      <c r="C15" s="945" t="s">
        <v>1734</v>
      </c>
      <c r="D15" s="953">
        <f t="shared" si="3"/>
        <v>0</v>
      </c>
      <c r="E15" s="953">
        <f t="shared" si="3"/>
        <v>0</v>
      </c>
      <c r="F15" s="992">
        <v>0</v>
      </c>
      <c r="G15" s="992">
        <v>0</v>
      </c>
      <c r="H15" s="992">
        <v>0</v>
      </c>
      <c r="I15" s="992">
        <v>0</v>
      </c>
      <c r="J15" s="992">
        <v>0</v>
      </c>
      <c r="K15" s="992">
        <v>0</v>
      </c>
      <c r="L15" s="992">
        <v>0</v>
      </c>
      <c r="M15" s="992">
        <v>0</v>
      </c>
      <c r="N15" s="992">
        <v>0</v>
      </c>
      <c r="O15" s="992">
        <v>0</v>
      </c>
      <c r="P15" s="992">
        <v>0</v>
      </c>
    </row>
    <row r="16" spans="2:16">
      <c r="B16" s="941" t="s">
        <v>2096</v>
      </c>
      <c r="C16" s="946" t="s">
        <v>1257</v>
      </c>
      <c r="D16" s="953">
        <f t="shared" si="3"/>
        <v>0</v>
      </c>
      <c r="E16" s="953">
        <f t="shared" si="3"/>
        <v>0</v>
      </c>
      <c r="F16" s="992">
        <v>0</v>
      </c>
      <c r="G16" s="992">
        <v>0</v>
      </c>
      <c r="H16" s="992">
        <v>0</v>
      </c>
      <c r="I16" s="992">
        <v>0</v>
      </c>
      <c r="J16" s="992">
        <v>0</v>
      </c>
      <c r="K16" s="992">
        <v>0</v>
      </c>
      <c r="L16" s="992">
        <v>0</v>
      </c>
      <c r="M16" s="992">
        <v>0</v>
      </c>
      <c r="N16" s="992">
        <v>0</v>
      </c>
      <c r="O16" s="992">
        <v>0</v>
      </c>
      <c r="P16" s="992">
        <v>0</v>
      </c>
    </row>
    <row r="17" spans="2:16">
      <c r="B17" s="941" t="s">
        <v>2097</v>
      </c>
      <c r="C17" s="946" t="s">
        <v>1735</v>
      </c>
      <c r="D17" s="953">
        <f t="shared" si="3"/>
        <v>0</v>
      </c>
      <c r="E17" s="953">
        <f t="shared" si="3"/>
        <v>0</v>
      </c>
      <c r="F17" s="992">
        <v>0</v>
      </c>
      <c r="G17" s="992">
        <v>0</v>
      </c>
      <c r="H17" s="992">
        <v>0</v>
      </c>
      <c r="I17" s="992">
        <v>0</v>
      </c>
      <c r="J17" s="992">
        <v>0</v>
      </c>
      <c r="K17" s="992">
        <v>0</v>
      </c>
      <c r="L17" s="992">
        <v>0</v>
      </c>
      <c r="M17" s="992">
        <v>0</v>
      </c>
      <c r="N17" s="992">
        <v>0</v>
      </c>
      <c r="O17" s="992">
        <v>0</v>
      </c>
      <c r="P17" s="992">
        <v>0</v>
      </c>
    </row>
    <row r="18" spans="2:16">
      <c r="B18" s="941" t="s">
        <v>2098</v>
      </c>
      <c r="C18" s="947" t="s">
        <v>1736</v>
      </c>
      <c r="D18" s="953">
        <f t="shared" si="3"/>
        <v>0</v>
      </c>
      <c r="E18" s="953">
        <f t="shared" si="3"/>
        <v>0</v>
      </c>
      <c r="F18" s="992">
        <v>0</v>
      </c>
      <c r="G18" s="992">
        <v>0</v>
      </c>
      <c r="H18" s="992">
        <v>0</v>
      </c>
      <c r="I18" s="992">
        <v>0</v>
      </c>
      <c r="J18" s="992">
        <v>0</v>
      </c>
      <c r="K18" s="992">
        <v>0</v>
      </c>
      <c r="L18" s="992">
        <v>0</v>
      </c>
      <c r="M18" s="992">
        <v>0</v>
      </c>
      <c r="N18" s="992">
        <v>0</v>
      </c>
      <c r="O18" s="992">
        <v>0</v>
      </c>
      <c r="P18" s="992">
        <v>0</v>
      </c>
    </row>
    <row r="19" spans="2:16">
      <c r="B19" s="941" t="s">
        <v>2099</v>
      </c>
      <c r="C19" s="947" t="s">
        <v>1737</v>
      </c>
      <c r="D19" s="953">
        <f t="shared" si="3"/>
        <v>0</v>
      </c>
      <c r="E19" s="953">
        <f t="shared" si="3"/>
        <v>0</v>
      </c>
      <c r="F19" s="992">
        <v>0</v>
      </c>
      <c r="G19" s="992">
        <v>0</v>
      </c>
      <c r="H19" s="992">
        <v>0</v>
      </c>
      <c r="I19" s="992">
        <v>0</v>
      </c>
      <c r="J19" s="992">
        <v>0</v>
      </c>
      <c r="K19" s="992">
        <v>0</v>
      </c>
      <c r="L19" s="992">
        <v>0</v>
      </c>
      <c r="M19" s="992">
        <v>0</v>
      </c>
      <c r="N19" s="992">
        <v>0</v>
      </c>
      <c r="O19" s="992">
        <v>0</v>
      </c>
      <c r="P19" s="992">
        <v>0</v>
      </c>
    </row>
    <row r="20" spans="2:16">
      <c r="B20" s="941" t="s">
        <v>2100</v>
      </c>
      <c r="C20" s="947" t="s">
        <v>1258</v>
      </c>
      <c r="D20" s="953">
        <f t="shared" si="3"/>
        <v>0</v>
      </c>
      <c r="E20" s="953">
        <f t="shared" si="3"/>
        <v>0</v>
      </c>
      <c r="F20" s="992">
        <v>0</v>
      </c>
      <c r="G20" s="992">
        <v>0</v>
      </c>
      <c r="H20" s="992">
        <v>0</v>
      </c>
      <c r="I20" s="992">
        <v>0</v>
      </c>
      <c r="J20" s="992">
        <v>0</v>
      </c>
      <c r="K20" s="992">
        <v>0</v>
      </c>
      <c r="L20" s="992">
        <v>0</v>
      </c>
      <c r="M20" s="992">
        <v>0</v>
      </c>
      <c r="N20" s="992">
        <v>0</v>
      </c>
      <c r="O20" s="992">
        <v>0</v>
      </c>
      <c r="P20" s="992">
        <v>0</v>
      </c>
    </row>
    <row r="21" spans="2:16">
      <c r="B21" s="941" t="s">
        <v>2101</v>
      </c>
      <c r="C21" s="947" t="s">
        <v>1738</v>
      </c>
      <c r="D21" s="953">
        <f t="shared" si="3"/>
        <v>0</v>
      </c>
      <c r="E21" s="953">
        <f t="shared" si="3"/>
        <v>0</v>
      </c>
      <c r="F21" s="992">
        <v>0</v>
      </c>
      <c r="G21" s="992">
        <v>0</v>
      </c>
      <c r="H21" s="992">
        <v>0</v>
      </c>
      <c r="I21" s="992">
        <v>0</v>
      </c>
      <c r="J21" s="992">
        <v>0</v>
      </c>
      <c r="K21" s="992">
        <v>0</v>
      </c>
      <c r="L21" s="992">
        <v>0</v>
      </c>
      <c r="M21" s="992">
        <v>0</v>
      </c>
      <c r="N21" s="992">
        <v>0</v>
      </c>
      <c r="O21" s="992">
        <v>0</v>
      </c>
      <c r="P21" s="992">
        <v>0</v>
      </c>
    </row>
    <row r="22" spans="2:16">
      <c r="B22" s="941" t="s">
        <v>2102</v>
      </c>
      <c r="C22" s="947" t="s">
        <v>1768</v>
      </c>
      <c r="D22" s="953">
        <f t="shared" si="3"/>
        <v>0</v>
      </c>
      <c r="E22" s="953">
        <f t="shared" si="3"/>
        <v>0</v>
      </c>
      <c r="F22" s="992">
        <v>0</v>
      </c>
      <c r="G22" s="992">
        <v>0</v>
      </c>
      <c r="H22" s="992">
        <v>0</v>
      </c>
      <c r="I22" s="992">
        <v>0</v>
      </c>
      <c r="J22" s="992">
        <v>0</v>
      </c>
      <c r="K22" s="992">
        <v>0</v>
      </c>
      <c r="L22" s="992">
        <v>0</v>
      </c>
      <c r="M22" s="992">
        <v>0</v>
      </c>
      <c r="N22" s="992">
        <v>0</v>
      </c>
      <c r="O22" s="992">
        <v>0</v>
      </c>
      <c r="P22" s="992">
        <v>0</v>
      </c>
    </row>
    <row r="23" spans="2:16">
      <c r="B23" s="941" t="s">
        <v>2103</v>
      </c>
      <c r="C23" s="949" t="s">
        <v>1472</v>
      </c>
      <c r="D23" s="953">
        <f t="shared" si="3"/>
        <v>0</v>
      </c>
      <c r="E23" s="953">
        <f t="shared" si="3"/>
        <v>0</v>
      </c>
      <c r="F23" s="992">
        <v>0</v>
      </c>
      <c r="G23" s="992">
        <v>0</v>
      </c>
      <c r="H23" s="992">
        <v>0</v>
      </c>
      <c r="I23" s="992">
        <v>0</v>
      </c>
      <c r="J23" s="992">
        <v>0</v>
      </c>
      <c r="K23" s="992">
        <v>0</v>
      </c>
      <c r="L23" s="992">
        <v>0</v>
      </c>
      <c r="M23" s="992">
        <v>0</v>
      </c>
      <c r="N23" s="992">
        <v>0</v>
      </c>
      <c r="O23" s="992">
        <v>0</v>
      </c>
      <c r="P23" s="992">
        <v>0</v>
      </c>
    </row>
    <row r="24" spans="2:16">
      <c r="B24" s="941" t="s">
        <v>2104</v>
      </c>
      <c r="C24" s="950" t="s">
        <v>1542</v>
      </c>
      <c r="D24" s="953">
        <f t="shared" si="3"/>
        <v>0</v>
      </c>
      <c r="E24" s="953">
        <f t="shared" si="3"/>
        <v>0</v>
      </c>
      <c r="F24" s="953">
        <f>SUM(F25:F37)</f>
        <v>0</v>
      </c>
      <c r="G24" s="953">
        <f t="shared" ref="G24:P24" si="4">SUM(G25:G37)</f>
        <v>0</v>
      </c>
      <c r="H24" s="953">
        <f t="shared" si="4"/>
        <v>0</v>
      </c>
      <c r="I24" s="953">
        <f t="shared" si="4"/>
        <v>0</v>
      </c>
      <c r="J24" s="953">
        <f t="shared" si="4"/>
        <v>0</v>
      </c>
      <c r="K24" s="953">
        <f t="shared" si="4"/>
        <v>0</v>
      </c>
      <c r="L24" s="953">
        <f t="shared" si="4"/>
        <v>0</v>
      </c>
      <c r="M24" s="953">
        <f t="shared" si="4"/>
        <v>0</v>
      </c>
      <c r="N24" s="953">
        <f t="shared" si="4"/>
        <v>0</v>
      </c>
      <c r="O24" s="953">
        <f t="shared" si="4"/>
        <v>0</v>
      </c>
      <c r="P24" s="953">
        <f t="shared" si="4"/>
        <v>0</v>
      </c>
    </row>
    <row r="25" spans="2:16">
      <c r="B25" s="941" t="s">
        <v>2105</v>
      </c>
      <c r="C25" s="944" t="s">
        <v>1256</v>
      </c>
      <c r="D25" s="953">
        <f t="shared" si="3"/>
        <v>0</v>
      </c>
      <c r="E25" s="953">
        <f t="shared" si="3"/>
        <v>0</v>
      </c>
      <c r="F25" s="992">
        <v>0</v>
      </c>
      <c r="G25" s="992">
        <v>0</v>
      </c>
      <c r="H25" s="992">
        <v>0</v>
      </c>
      <c r="I25" s="992">
        <v>0</v>
      </c>
      <c r="J25" s="992">
        <v>0</v>
      </c>
      <c r="K25" s="992">
        <v>0</v>
      </c>
      <c r="L25" s="992">
        <v>0</v>
      </c>
      <c r="M25" s="992">
        <v>0</v>
      </c>
      <c r="N25" s="992">
        <v>0</v>
      </c>
      <c r="O25" s="992">
        <v>0</v>
      </c>
      <c r="P25" s="992">
        <v>0</v>
      </c>
    </row>
    <row r="26" spans="2:16">
      <c r="B26" s="941" t="s">
        <v>2106</v>
      </c>
      <c r="C26" s="945" t="s">
        <v>1469</v>
      </c>
      <c r="D26" s="953">
        <f t="shared" si="3"/>
        <v>0</v>
      </c>
      <c r="E26" s="953">
        <f t="shared" si="3"/>
        <v>0</v>
      </c>
      <c r="F26" s="992">
        <v>0</v>
      </c>
      <c r="G26" s="992">
        <v>0</v>
      </c>
      <c r="H26" s="992">
        <v>0</v>
      </c>
      <c r="I26" s="992">
        <v>0</v>
      </c>
      <c r="J26" s="992">
        <v>0</v>
      </c>
      <c r="K26" s="992">
        <v>0</v>
      </c>
      <c r="L26" s="992">
        <v>0</v>
      </c>
      <c r="M26" s="992">
        <v>0</v>
      </c>
      <c r="N26" s="992">
        <v>0</v>
      </c>
      <c r="O26" s="992">
        <v>0</v>
      </c>
      <c r="P26" s="992">
        <v>0</v>
      </c>
    </row>
    <row r="27" spans="2:16">
      <c r="B27" s="941" t="s">
        <v>2107</v>
      </c>
      <c r="C27" s="946" t="s">
        <v>1161</v>
      </c>
      <c r="D27" s="953">
        <f t="shared" si="3"/>
        <v>0</v>
      </c>
      <c r="E27" s="953">
        <f t="shared" si="3"/>
        <v>0</v>
      </c>
      <c r="F27" s="992">
        <v>0</v>
      </c>
      <c r="G27" s="992">
        <v>0</v>
      </c>
      <c r="H27" s="992">
        <v>0</v>
      </c>
      <c r="I27" s="992">
        <v>0</v>
      </c>
      <c r="J27" s="992">
        <v>0</v>
      </c>
      <c r="K27" s="992">
        <v>0</v>
      </c>
      <c r="L27" s="992">
        <v>0</v>
      </c>
      <c r="M27" s="992">
        <v>0</v>
      </c>
      <c r="N27" s="992">
        <v>0</v>
      </c>
      <c r="O27" s="992">
        <v>0</v>
      </c>
      <c r="P27" s="992">
        <v>0</v>
      </c>
    </row>
    <row r="28" spans="2:16">
      <c r="B28" s="941" t="s">
        <v>2108</v>
      </c>
      <c r="C28" s="947" t="s">
        <v>1732</v>
      </c>
      <c r="D28" s="953">
        <f t="shared" si="3"/>
        <v>0</v>
      </c>
      <c r="E28" s="953">
        <f t="shared" si="3"/>
        <v>0</v>
      </c>
      <c r="F28" s="992">
        <v>0</v>
      </c>
      <c r="G28" s="992">
        <v>0</v>
      </c>
      <c r="H28" s="992">
        <v>0</v>
      </c>
      <c r="I28" s="992">
        <v>0</v>
      </c>
      <c r="J28" s="992">
        <v>0</v>
      </c>
      <c r="K28" s="992">
        <v>0</v>
      </c>
      <c r="L28" s="992">
        <v>0</v>
      </c>
      <c r="M28" s="992">
        <v>0</v>
      </c>
      <c r="N28" s="992">
        <v>0</v>
      </c>
      <c r="O28" s="992">
        <v>0</v>
      </c>
      <c r="P28" s="992">
        <v>0</v>
      </c>
    </row>
    <row r="29" spans="2:16">
      <c r="B29" s="941" t="s">
        <v>2109</v>
      </c>
      <c r="C29" s="948" t="s">
        <v>1733</v>
      </c>
      <c r="D29" s="953">
        <f t="shared" si="3"/>
        <v>0</v>
      </c>
      <c r="E29" s="953">
        <f t="shared" si="3"/>
        <v>0</v>
      </c>
      <c r="F29" s="992">
        <v>0</v>
      </c>
      <c r="G29" s="992">
        <v>0</v>
      </c>
      <c r="H29" s="992">
        <v>0</v>
      </c>
      <c r="I29" s="992">
        <v>0</v>
      </c>
      <c r="J29" s="992">
        <v>0</v>
      </c>
      <c r="K29" s="992">
        <v>0</v>
      </c>
      <c r="L29" s="992">
        <v>0</v>
      </c>
      <c r="M29" s="992">
        <v>0</v>
      </c>
      <c r="N29" s="992">
        <v>0</v>
      </c>
      <c r="O29" s="992">
        <v>0</v>
      </c>
      <c r="P29" s="992">
        <v>0</v>
      </c>
    </row>
    <row r="30" spans="2:16">
      <c r="B30" s="941" t="s">
        <v>2110</v>
      </c>
      <c r="C30" s="945" t="s">
        <v>1734</v>
      </c>
      <c r="D30" s="953">
        <f t="shared" si="3"/>
        <v>0</v>
      </c>
      <c r="E30" s="953">
        <f t="shared" si="3"/>
        <v>0</v>
      </c>
      <c r="F30" s="992">
        <v>0</v>
      </c>
      <c r="G30" s="992">
        <v>0</v>
      </c>
      <c r="H30" s="992">
        <v>0</v>
      </c>
      <c r="I30" s="992">
        <v>0</v>
      </c>
      <c r="J30" s="992">
        <v>0</v>
      </c>
      <c r="K30" s="992">
        <v>0</v>
      </c>
      <c r="L30" s="992">
        <v>0</v>
      </c>
      <c r="M30" s="992">
        <v>0</v>
      </c>
      <c r="N30" s="992">
        <v>0</v>
      </c>
      <c r="O30" s="992">
        <v>0</v>
      </c>
      <c r="P30" s="992">
        <v>0</v>
      </c>
    </row>
    <row r="31" spans="2:16">
      <c r="B31" s="941" t="s">
        <v>2111</v>
      </c>
      <c r="C31" s="946" t="s">
        <v>1257</v>
      </c>
      <c r="D31" s="953">
        <f t="shared" si="3"/>
        <v>0</v>
      </c>
      <c r="E31" s="953">
        <f t="shared" si="3"/>
        <v>0</v>
      </c>
      <c r="F31" s="992">
        <v>0</v>
      </c>
      <c r="G31" s="992">
        <v>0</v>
      </c>
      <c r="H31" s="992">
        <v>0</v>
      </c>
      <c r="I31" s="992">
        <v>0</v>
      </c>
      <c r="J31" s="992">
        <v>0</v>
      </c>
      <c r="K31" s="992">
        <v>0</v>
      </c>
      <c r="L31" s="992">
        <v>0</v>
      </c>
      <c r="M31" s="992">
        <v>0</v>
      </c>
      <c r="N31" s="992">
        <v>0</v>
      </c>
      <c r="O31" s="992">
        <v>0</v>
      </c>
      <c r="P31" s="992">
        <v>0</v>
      </c>
    </row>
    <row r="32" spans="2:16">
      <c r="B32" s="941" t="s">
        <v>2112</v>
      </c>
      <c r="C32" s="946" t="s">
        <v>1735</v>
      </c>
      <c r="D32" s="953">
        <f t="shared" si="3"/>
        <v>0</v>
      </c>
      <c r="E32" s="953">
        <f t="shared" si="3"/>
        <v>0</v>
      </c>
      <c r="F32" s="992">
        <v>0</v>
      </c>
      <c r="G32" s="992">
        <v>0</v>
      </c>
      <c r="H32" s="992">
        <v>0</v>
      </c>
      <c r="I32" s="992">
        <v>0</v>
      </c>
      <c r="J32" s="992">
        <v>0</v>
      </c>
      <c r="K32" s="992">
        <v>0</v>
      </c>
      <c r="L32" s="992">
        <v>0</v>
      </c>
      <c r="M32" s="992">
        <v>0</v>
      </c>
      <c r="N32" s="992">
        <v>0</v>
      </c>
      <c r="O32" s="992">
        <v>0</v>
      </c>
      <c r="P32" s="992">
        <v>0</v>
      </c>
    </row>
    <row r="33" spans="2:16">
      <c r="B33" s="941" t="s">
        <v>2113</v>
      </c>
      <c r="C33" s="947" t="s">
        <v>1736</v>
      </c>
      <c r="D33" s="953">
        <f t="shared" si="3"/>
        <v>0</v>
      </c>
      <c r="E33" s="953">
        <f t="shared" si="3"/>
        <v>0</v>
      </c>
      <c r="F33" s="992">
        <v>0</v>
      </c>
      <c r="G33" s="992">
        <v>0</v>
      </c>
      <c r="H33" s="992">
        <v>0</v>
      </c>
      <c r="I33" s="992">
        <v>0</v>
      </c>
      <c r="J33" s="992">
        <v>0</v>
      </c>
      <c r="K33" s="992">
        <v>0</v>
      </c>
      <c r="L33" s="992">
        <v>0</v>
      </c>
      <c r="M33" s="992">
        <v>0</v>
      </c>
      <c r="N33" s="992">
        <v>0</v>
      </c>
      <c r="O33" s="992">
        <v>0</v>
      </c>
      <c r="P33" s="992">
        <v>0</v>
      </c>
    </row>
    <row r="34" spans="2:16">
      <c r="B34" s="941" t="s">
        <v>2114</v>
      </c>
      <c r="C34" s="947" t="s">
        <v>1737</v>
      </c>
      <c r="D34" s="953">
        <f t="shared" si="3"/>
        <v>0</v>
      </c>
      <c r="E34" s="953">
        <f t="shared" si="3"/>
        <v>0</v>
      </c>
      <c r="F34" s="992">
        <v>0</v>
      </c>
      <c r="G34" s="992">
        <v>0</v>
      </c>
      <c r="H34" s="992">
        <v>0</v>
      </c>
      <c r="I34" s="992">
        <v>0</v>
      </c>
      <c r="J34" s="992">
        <v>0</v>
      </c>
      <c r="K34" s="992">
        <v>0</v>
      </c>
      <c r="L34" s="992">
        <v>0</v>
      </c>
      <c r="M34" s="992">
        <v>0</v>
      </c>
      <c r="N34" s="992">
        <v>0</v>
      </c>
      <c r="O34" s="992">
        <v>0</v>
      </c>
      <c r="P34" s="992">
        <v>0</v>
      </c>
    </row>
    <row r="35" spans="2:16">
      <c r="B35" s="941" t="s">
        <v>2115</v>
      </c>
      <c r="C35" s="947" t="s">
        <v>1258</v>
      </c>
      <c r="D35" s="953">
        <f t="shared" si="3"/>
        <v>0</v>
      </c>
      <c r="E35" s="953">
        <f t="shared" si="3"/>
        <v>0</v>
      </c>
      <c r="F35" s="992">
        <v>0</v>
      </c>
      <c r="G35" s="992">
        <v>0</v>
      </c>
      <c r="H35" s="992">
        <v>0</v>
      </c>
      <c r="I35" s="992">
        <v>0</v>
      </c>
      <c r="J35" s="992">
        <v>0</v>
      </c>
      <c r="K35" s="992">
        <v>0</v>
      </c>
      <c r="L35" s="992">
        <v>0</v>
      </c>
      <c r="M35" s="992">
        <v>0</v>
      </c>
      <c r="N35" s="992">
        <v>0</v>
      </c>
      <c r="O35" s="992">
        <v>0</v>
      </c>
      <c r="P35" s="992">
        <v>0</v>
      </c>
    </row>
    <row r="36" spans="2:16">
      <c r="B36" s="941" t="s">
        <v>2116</v>
      </c>
      <c r="C36" s="947" t="s">
        <v>1738</v>
      </c>
      <c r="D36" s="953">
        <f t="shared" si="3"/>
        <v>0</v>
      </c>
      <c r="E36" s="953">
        <f t="shared" si="3"/>
        <v>0</v>
      </c>
      <c r="F36" s="992">
        <v>0</v>
      </c>
      <c r="G36" s="992">
        <v>0</v>
      </c>
      <c r="H36" s="992">
        <v>0</v>
      </c>
      <c r="I36" s="992">
        <v>0</v>
      </c>
      <c r="J36" s="992">
        <v>0</v>
      </c>
      <c r="K36" s="992">
        <v>0</v>
      </c>
      <c r="L36" s="992">
        <v>0</v>
      </c>
      <c r="M36" s="992">
        <v>0</v>
      </c>
      <c r="N36" s="992">
        <v>0</v>
      </c>
      <c r="O36" s="992">
        <v>0</v>
      </c>
      <c r="P36" s="992">
        <v>0</v>
      </c>
    </row>
    <row r="37" spans="2:16">
      <c r="B37" s="941" t="s">
        <v>2117</v>
      </c>
      <c r="C37" s="947" t="s">
        <v>1768</v>
      </c>
      <c r="D37" s="953">
        <f t="shared" si="3"/>
        <v>0</v>
      </c>
      <c r="E37" s="953">
        <f t="shared" si="3"/>
        <v>0</v>
      </c>
      <c r="F37" s="992">
        <v>0</v>
      </c>
      <c r="G37" s="992">
        <v>0</v>
      </c>
      <c r="H37" s="992">
        <v>0</v>
      </c>
      <c r="I37" s="992">
        <v>0</v>
      </c>
      <c r="J37" s="992">
        <v>0</v>
      </c>
      <c r="K37" s="992">
        <v>0</v>
      </c>
      <c r="L37" s="992">
        <v>0</v>
      </c>
      <c r="M37" s="992">
        <v>0</v>
      </c>
      <c r="N37" s="992">
        <v>0</v>
      </c>
      <c r="O37" s="992">
        <v>0</v>
      </c>
      <c r="P37" s="992">
        <v>0</v>
      </c>
    </row>
    <row r="38" spans="2:16">
      <c r="B38" s="941" t="s">
        <v>2118</v>
      </c>
      <c r="C38" s="951" t="s">
        <v>1321</v>
      </c>
      <c r="D38" s="953">
        <f>D8+D24</f>
        <v>0</v>
      </c>
      <c r="E38" s="953">
        <f t="shared" ref="E38:P38" si="5">E8+E24</f>
        <v>0</v>
      </c>
      <c r="F38" s="953">
        <f t="shared" si="5"/>
        <v>0</v>
      </c>
      <c r="G38" s="953">
        <f t="shared" si="5"/>
        <v>0</v>
      </c>
      <c r="H38" s="953">
        <f t="shared" si="5"/>
        <v>0</v>
      </c>
      <c r="I38" s="953">
        <f t="shared" si="5"/>
        <v>0</v>
      </c>
      <c r="J38" s="953">
        <f t="shared" si="5"/>
        <v>0</v>
      </c>
      <c r="K38" s="953">
        <f t="shared" si="5"/>
        <v>0</v>
      </c>
      <c r="L38" s="953">
        <f t="shared" si="5"/>
        <v>0</v>
      </c>
      <c r="M38" s="953">
        <f t="shared" si="5"/>
        <v>0</v>
      </c>
      <c r="N38" s="953">
        <f t="shared" si="5"/>
        <v>0</v>
      </c>
      <c r="O38" s="953">
        <f t="shared" si="5"/>
        <v>0</v>
      </c>
      <c r="P38" s="953">
        <f t="shared" si="5"/>
        <v>0</v>
      </c>
    </row>
  </sheetData>
  <sheetProtection password="E9D4" sheet="1" objects="1" scenarios="1"/>
  <mergeCells count="3">
    <mergeCell ref="N1:P1"/>
    <mergeCell ref="C3:D3"/>
    <mergeCell ref="C4:I4"/>
  </mergeCells>
  <pageMargins left="0.15748031496062992" right="0.11" top="0.23622047244094491" bottom="0.19" header="0.15748031496062992" footer="0.15"/>
  <pageSetup paperSize="9" scale="55" orientation="landscape" r:id="rId1"/>
</worksheet>
</file>

<file path=xl/worksheets/sheet47.xml><?xml version="1.0" encoding="utf-8"?>
<worksheet xmlns="http://schemas.openxmlformats.org/spreadsheetml/2006/main" xmlns:r="http://schemas.openxmlformats.org/officeDocument/2006/relationships">
  <sheetPr codeName="Лист49"/>
  <dimension ref="B1:D33"/>
  <sheetViews>
    <sheetView workbookViewId="0">
      <selection activeCell="D15" sqref="D15"/>
    </sheetView>
  </sheetViews>
  <sheetFormatPr defaultColWidth="8.85546875" defaultRowHeight="18"/>
  <cols>
    <col min="1" max="1" width="1.7109375" style="954" customWidth="1"/>
    <col min="2" max="2" width="10.140625" style="954" bestFit="1" customWidth="1"/>
    <col min="3" max="3" width="71.85546875" style="954" bestFit="1" customWidth="1"/>
    <col min="4" max="4" width="16" style="954" customWidth="1"/>
    <col min="5" max="16384" width="8.85546875" style="954"/>
  </cols>
  <sheetData>
    <row r="1" spans="2:4" ht="27.75" customHeight="1">
      <c r="C1" s="1277" t="s">
        <v>2271</v>
      </c>
      <c r="D1" s="1277"/>
    </row>
    <row r="2" spans="2:4">
      <c r="C2" s="955" t="str">
        <f>T!E18</f>
        <v>Номгӯи ташкилоти қарзӣ</v>
      </c>
      <c r="D2" s="956"/>
    </row>
    <row r="3" spans="2:4">
      <c r="C3" s="957" t="str">
        <f>T!B10</f>
        <v>Ҳисобот дар санаи</v>
      </c>
      <c r="D3" s="956"/>
    </row>
    <row r="4" spans="2:4" ht="36.75" customHeight="1">
      <c r="C4" s="1276" t="str">
        <f>'List of Scedules'!B46</f>
        <v>ҶАДВАЛИ 23.01. ҲАРАКАТИ ҚАРЗҲОИ ҒАЙРИФАЪОЛ ВА ФПТИ АЗ РӮИ ҚАРЗҲОИ ҒАЙРИФАЪОЛ</v>
      </c>
      <c r="D4" s="1276"/>
    </row>
    <row r="6" spans="2:4">
      <c r="B6" s="959"/>
      <c r="C6" s="961" t="s">
        <v>1659</v>
      </c>
      <c r="D6" s="962"/>
    </row>
    <row r="7" spans="2:4">
      <c r="B7" s="196"/>
      <c r="C7" s="963" t="s">
        <v>2139</v>
      </c>
      <c r="D7" s="959"/>
    </row>
    <row r="8" spans="2:4">
      <c r="B8" s="196" t="s">
        <v>2124</v>
      </c>
      <c r="C8" s="958" t="s">
        <v>2119</v>
      </c>
      <c r="D8" s="992">
        <v>0</v>
      </c>
    </row>
    <row r="9" spans="2:4">
      <c r="B9" s="196" t="s">
        <v>2125</v>
      </c>
      <c r="C9" s="958" t="s">
        <v>2120</v>
      </c>
      <c r="D9" s="924">
        <f>SUM(D10:D13)</f>
        <v>0</v>
      </c>
    </row>
    <row r="10" spans="2:4">
      <c r="B10" s="196" t="s">
        <v>2126</v>
      </c>
      <c r="C10" s="960" t="s">
        <v>2288</v>
      </c>
      <c r="D10" s="992">
        <v>0</v>
      </c>
    </row>
    <row r="11" spans="2:4">
      <c r="B11" s="196" t="s">
        <v>2127</v>
      </c>
      <c r="C11" s="960" t="s">
        <v>2354</v>
      </c>
      <c r="D11" s="992">
        <v>0</v>
      </c>
    </row>
    <row r="12" spans="2:4">
      <c r="B12" s="196" t="s">
        <v>2128</v>
      </c>
      <c r="C12" s="960" t="s">
        <v>2140</v>
      </c>
      <c r="D12" s="992">
        <v>0</v>
      </c>
    </row>
    <row r="13" spans="2:4">
      <c r="B13" s="196" t="s">
        <v>2129</v>
      </c>
      <c r="C13" s="960" t="s">
        <v>1768</v>
      </c>
      <c r="D13" s="992">
        <v>0</v>
      </c>
    </row>
    <row r="14" spans="2:4">
      <c r="B14" s="196" t="s">
        <v>2130</v>
      </c>
      <c r="C14" s="958" t="s">
        <v>2121</v>
      </c>
      <c r="D14" s="924">
        <f>SUM(D15:D17)</f>
        <v>0</v>
      </c>
    </row>
    <row r="15" spans="2:4">
      <c r="B15" s="196" t="s">
        <v>2131</v>
      </c>
      <c r="C15" s="960" t="s">
        <v>2341</v>
      </c>
      <c r="D15" s="992">
        <v>0</v>
      </c>
    </row>
    <row r="16" spans="2:4">
      <c r="B16" s="196" t="s">
        <v>2132</v>
      </c>
      <c r="C16" s="960" t="s">
        <v>2355</v>
      </c>
      <c r="D16" s="992">
        <v>0</v>
      </c>
    </row>
    <row r="17" spans="2:4">
      <c r="B17" s="196" t="s">
        <v>2133</v>
      </c>
      <c r="C17" s="960" t="s">
        <v>1768</v>
      </c>
      <c r="D17" s="992">
        <v>0</v>
      </c>
    </row>
    <row r="18" spans="2:4">
      <c r="B18" s="196" t="s">
        <v>2134</v>
      </c>
      <c r="C18" s="958" t="s">
        <v>2122</v>
      </c>
      <c r="D18" s="924">
        <f>D8-D9+D14</f>
        <v>0</v>
      </c>
    </row>
    <row r="19" spans="2:4">
      <c r="B19" s="196"/>
      <c r="C19" s="959"/>
      <c r="D19" s="952"/>
    </row>
    <row r="20" spans="2:4" ht="36">
      <c r="B20" s="959"/>
      <c r="C20" s="964" t="s">
        <v>2141</v>
      </c>
      <c r="D20" s="952"/>
    </row>
    <row r="21" spans="2:4">
      <c r="B21" s="196" t="s">
        <v>2135</v>
      </c>
      <c r="C21" s="958" t="s">
        <v>2119</v>
      </c>
      <c r="D21" s="992">
        <v>0</v>
      </c>
    </row>
    <row r="22" spans="2:4">
      <c r="B22" s="196" t="s">
        <v>2136</v>
      </c>
      <c r="C22" s="958" t="s">
        <v>2120</v>
      </c>
      <c r="D22" s="924">
        <f>SUM(D23:D26)</f>
        <v>0</v>
      </c>
    </row>
    <row r="23" spans="2:4">
      <c r="B23" s="196" t="s">
        <v>2137</v>
      </c>
      <c r="C23" s="960" t="s">
        <v>2288</v>
      </c>
      <c r="D23" s="992">
        <v>0</v>
      </c>
    </row>
    <row r="24" spans="2:4">
      <c r="B24" s="196" t="s">
        <v>2138</v>
      </c>
      <c r="C24" s="960" t="s">
        <v>2354</v>
      </c>
      <c r="D24" s="992">
        <v>0</v>
      </c>
    </row>
    <row r="25" spans="2:4">
      <c r="B25" s="196" t="s">
        <v>2144</v>
      </c>
      <c r="C25" s="960" t="s">
        <v>2140</v>
      </c>
      <c r="D25" s="992">
        <v>0</v>
      </c>
    </row>
    <row r="26" spans="2:4">
      <c r="B26" s="196" t="s">
        <v>2145</v>
      </c>
      <c r="C26" s="960" t="s">
        <v>1768</v>
      </c>
      <c r="D26" s="992">
        <v>0</v>
      </c>
    </row>
    <row r="27" spans="2:4">
      <c r="B27" s="196" t="s">
        <v>2146</v>
      </c>
      <c r="C27" s="958" t="s">
        <v>2121</v>
      </c>
      <c r="D27" s="924">
        <f>SUM(D28:D32)</f>
        <v>0</v>
      </c>
    </row>
    <row r="28" spans="2:4">
      <c r="B28" s="196" t="s">
        <v>2147</v>
      </c>
      <c r="C28" s="960" t="s">
        <v>2341</v>
      </c>
      <c r="D28" s="992">
        <v>0</v>
      </c>
    </row>
    <row r="29" spans="2:4">
      <c r="B29" s="196" t="s">
        <v>2148</v>
      </c>
      <c r="C29" s="960" t="s">
        <v>2355</v>
      </c>
      <c r="D29" s="992">
        <v>0</v>
      </c>
    </row>
    <row r="30" spans="2:4">
      <c r="B30" s="196" t="s">
        <v>2149</v>
      </c>
      <c r="C30" s="960" t="s">
        <v>2356</v>
      </c>
      <c r="D30" s="992">
        <v>0</v>
      </c>
    </row>
    <row r="31" spans="2:4">
      <c r="B31" s="196" t="s">
        <v>2150</v>
      </c>
      <c r="C31" s="960" t="s">
        <v>2142</v>
      </c>
      <c r="D31" s="992">
        <v>0</v>
      </c>
    </row>
    <row r="32" spans="2:4">
      <c r="B32" s="196" t="s">
        <v>2151</v>
      </c>
      <c r="C32" s="960" t="s">
        <v>1768</v>
      </c>
      <c r="D32" s="992">
        <v>0</v>
      </c>
    </row>
    <row r="33" spans="2:4">
      <c r="B33" s="196" t="s">
        <v>2152</v>
      </c>
      <c r="C33" s="958" t="s">
        <v>2122</v>
      </c>
      <c r="D33" s="924">
        <f>D21-D22+D27</f>
        <v>0</v>
      </c>
    </row>
  </sheetData>
  <sheetProtection password="E9D4" sheet="1" objects="1" scenarios="1"/>
  <mergeCells count="2">
    <mergeCell ref="C4:D4"/>
    <mergeCell ref="C1:D1"/>
  </mergeCells>
  <pageMargins left="0.7" right="0.7" top="0.75" bottom="0.75" header="0.3" footer="0.3"/>
  <pageSetup paperSize="9" scale="88" orientation="portrait" r:id="rId1"/>
</worksheet>
</file>

<file path=xl/worksheets/sheet48.xml><?xml version="1.0" encoding="utf-8"?>
<worksheet xmlns="http://schemas.openxmlformats.org/spreadsheetml/2006/main" xmlns:r="http://schemas.openxmlformats.org/officeDocument/2006/relationships">
  <sheetPr codeName="Лист50"/>
  <dimension ref="B1:O111"/>
  <sheetViews>
    <sheetView workbookViewId="0"/>
  </sheetViews>
  <sheetFormatPr defaultColWidth="8.85546875" defaultRowHeight="15"/>
  <cols>
    <col min="1" max="1" width="1.28515625" style="965" customWidth="1"/>
    <col min="2" max="2" width="8" style="965" customWidth="1"/>
    <col min="3" max="3" width="27.85546875" style="965" customWidth="1"/>
    <col min="4" max="4" width="12" style="965" customWidth="1"/>
    <col min="5" max="5" width="10.7109375" style="965" customWidth="1"/>
    <col min="6" max="6" width="11" style="965" customWidth="1"/>
    <col min="7" max="7" width="10.140625" style="965" bestFit="1" customWidth="1"/>
    <col min="8" max="8" width="10" style="965" bestFit="1" customWidth="1"/>
    <col min="9" max="9" width="8.85546875" style="965" bestFit="1" customWidth="1"/>
    <col min="10" max="10" width="13.85546875" style="965" customWidth="1"/>
    <col min="11" max="11" width="11.85546875" style="965" customWidth="1"/>
    <col min="12" max="12" width="10.7109375" style="965" customWidth="1"/>
    <col min="13" max="13" width="14.42578125" style="965" customWidth="1"/>
    <col min="14" max="14" width="10.42578125" style="965" bestFit="1" customWidth="1"/>
    <col min="15" max="15" width="11.140625" style="965" customWidth="1"/>
    <col min="16" max="16384" width="8.85546875" style="965"/>
  </cols>
  <sheetData>
    <row r="1" spans="2:15" ht="28.5" customHeight="1">
      <c r="M1" s="1277" t="s">
        <v>2272</v>
      </c>
      <c r="N1" s="1277"/>
      <c r="O1" s="1277"/>
    </row>
    <row r="2" spans="2:15">
      <c r="C2" s="966" t="str">
        <f>T!E18</f>
        <v>Номгӯи ташкилоти қарзӣ</v>
      </c>
      <c r="D2" s="967"/>
      <c r="E2" s="967"/>
      <c r="F2" s="967"/>
      <c r="G2" s="967"/>
      <c r="H2" s="967"/>
    </row>
    <row r="3" spans="2:15">
      <c r="C3" s="968" t="str">
        <f>T!B10</f>
        <v>Ҳисобот дар санаи</v>
      </c>
      <c r="D3" s="967"/>
      <c r="E3" s="967"/>
      <c r="F3" s="967"/>
      <c r="G3" s="967"/>
      <c r="H3" s="967"/>
    </row>
    <row r="4" spans="2:15">
      <c r="C4" s="969" t="str">
        <f>'List of Scedules'!B47</f>
        <v>ҶАДВАЛИ 24.01. 100 ҚАРЗҲОИ КАЛОНТАРИНИ ҒАЙРИФАЪОЛ</v>
      </c>
      <c r="D4" s="969"/>
      <c r="E4" s="969"/>
      <c r="F4" s="969"/>
      <c r="G4" s="969"/>
      <c r="H4" s="969"/>
    </row>
    <row r="5" spans="2:15">
      <c r="D5" s="969"/>
      <c r="E5" s="969"/>
      <c r="F5" s="969"/>
      <c r="G5" s="969"/>
      <c r="H5" s="969"/>
      <c r="I5" s="969"/>
    </row>
    <row r="6" spans="2:15">
      <c r="B6" s="1281" t="s">
        <v>888</v>
      </c>
      <c r="C6" s="1280" t="s">
        <v>2153</v>
      </c>
      <c r="D6" s="1283" t="s">
        <v>2289</v>
      </c>
      <c r="E6" s="1284"/>
      <c r="F6" s="1284"/>
      <c r="G6" s="1284"/>
      <c r="H6" s="1284"/>
      <c r="I6" s="1284"/>
      <c r="J6" s="1284"/>
      <c r="K6" s="1284"/>
      <c r="L6" s="1284"/>
      <c r="M6" s="1284"/>
      <c r="N6" s="1284"/>
      <c r="O6" s="1285"/>
    </row>
    <row r="7" spans="2:15" ht="45">
      <c r="B7" s="1282"/>
      <c r="C7" s="1280"/>
      <c r="D7" s="1003" t="s">
        <v>2236</v>
      </c>
      <c r="E7" s="1003" t="s">
        <v>2154</v>
      </c>
      <c r="F7" s="1003" t="s">
        <v>2242</v>
      </c>
      <c r="G7" s="1035" t="s">
        <v>2277</v>
      </c>
      <c r="H7" s="1003" t="s">
        <v>2237</v>
      </c>
      <c r="I7" s="1003" t="s">
        <v>2238</v>
      </c>
      <c r="J7" s="1003" t="s">
        <v>2239</v>
      </c>
      <c r="K7" s="1003" t="s">
        <v>2155</v>
      </c>
      <c r="L7" s="1003" t="s">
        <v>2243</v>
      </c>
      <c r="M7" s="1003" t="s">
        <v>2240</v>
      </c>
      <c r="N7" s="1035" t="s">
        <v>2278</v>
      </c>
      <c r="O7" s="1003" t="s">
        <v>2241</v>
      </c>
    </row>
    <row r="8" spans="2:15">
      <c r="B8" s="1002"/>
      <c r="C8" s="1001" t="s">
        <v>2223</v>
      </c>
      <c r="D8" s="1001" t="s">
        <v>2224</v>
      </c>
      <c r="E8" s="1001" t="s">
        <v>2225</v>
      </c>
      <c r="F8" s="1001" t="s">
        <v>2226</v>
      </c>
      <c r="G8" s="1001" t="s">
        <v>2227</v>
      </c>
      <c r="H8" s="1001" t="s">
        <v>2228</v>
      </c>
      <c r="I8" s="1001" t="s">
        <v>2229</v>
      </c>
      <c r="J8" s="1001" t="s">
        <v>2230</v>
      </c>
      <c r="K8" s="1001" t="s">
        <v>2231</v>
      </c>
      <c r="L8" s="1001" t="s">
        <v>2232</v>
      </c>
      <c r="M8" s="1001" t="s">
        <v>2233</v>
      </c>
      <c r="N8" s="1001" t="s">
        <v>2234</v>
      </c>
      <c r="O8" s="1001" t="s">
        <v>2235</v>
      </c>
    </row>
    <row r="9" spans="2:15">
      <c r="B9" s="1001" t="s">
        <v>1268</v>
      </c>
      <c r="C9" s="1002"/>
      <c r="D9" s="1003"/>
      <c r="E9" s="1003"/>
      <c r="F9" s="1003"/>
      <c r="G9" s="1003"/>
      <c r="H9" s="1003"/>
      <c r="I9" s="1003"/>
      <c r="J9" s="1004">
        <f>SUM(J10:J109)</f>
        <v>0</v>
      </c>
      <c r="K9" s="1004">
        <f>SUM(K10:K109)</f>
        <v>0</v>
      </c>
      <c r="L9" s="1004">
        <f>SUM(L10:L109)</f>
        <v>0</v>
      </c>
      <c r="M9" s="1004">
        <f>SUM(M10:M109)</f>
        <v>0</v>
      </c>
      <c r="N9" s="1004">
        <f>SUM(N10:N109)</f>
        <v>0</v>
      </c>
      <c r="O9" s="1003"/>
    </row>
    <row r="10" spans="2:15">
      <c r="B10" s="1016">
        <v>1</v>
      </c>
      <c r="C10" s="1059" t="s">
        <v>2318</v>
      </c>
      <c r="D10" s="989">
        <v>0</v>
      </c>
      <c r="E10" s="1005">
        <v>0</v>
      </c>
      <c r="F10" s="1005">
        <v>1</v>
      </c>
      <c r="G10" s="989">
        <v>0</v>
      </c>
      <c r="H10" s="989">
        <v>0</v>
      </c>
      <c r="I10" s="989">
        <v>0</v>
      </c>
      <c r="J10" s="989">
        <v>0</v>
      </c>
      <c r="K10" s="989">
        <v>0</v>
      </c>
      <c r="L10" s="989">
        <v>0</v>
      </c>
      <c r="M10" s="989">
        <v>0</v>
      </c>
      <c r="N10" s="989">
        <v>0</v>
      </c>
      <c r="O10" s="1005">
        <v>1</v>
      </c>
    </row>
    <row r="11" spans="2:15">
      <c r="B11" s="1016"/>
      <c r="C11" s="1019"/>
      <c r="D11" s="1019"/>
      <c r="E11" s="1020"/>
      <c r="F11" s="1020"/>
      <c r="G11" s="1020"/>
      <c r="H11" s="989"/>
      <c r="I11" s="1020"/>
      <c r="J11" s="1020"/>
      <c r="K11" s="1020"/>
      <c r="L11" s="1020"/>
      <c r="M11" s="1020"/>
      <c r="N11" s="1020"/>
      <c r="O11" s="1020"/>
    </row>
    <row r="12" spans="2:15">
      <c r="B12" s="1016"/>
      <c r="C12" s="1019"/>
      <c r="D12" s="1019"/>
      <c r="E12" s="1020"/>
      <c r="F12" s="1020"/>
      <c r="G12" s="1020"/>
      <c r="H12" s="989"/>
      <c r="I12" s="1020"/>
      <c r="J12" s="1020"/>
      <c r="K12" s="1020"/>
      <c r="L12" s="1020"/>
      <c r="M12" s="1020"/>
      <c r="N12" s="1020"/>
      <c r="O12" s="1020"/>
    </row>
    <row r="13" spans="2:15">
      <c r="B13" s="1016"/>
      <c r="C13" s="1019"/>
      <c r="D13" s="1019"/>
      <c r="E13" s="1020"/>
      <c r="F13" s="1020"/>
      <c r="G13" s="1020"/>
      <c r="H13" s="989"/>
      <c r="I13" s="1020"/>
      <c r="J13" s="1020"/>
      <c r="K13" s="1020"/>
      <c r="L13" s="1020"/>
      <c r="M13" s="1020"/>
      <c r="N13" s="1020"/>
      <c r="O13" s="1020"/>
    </row>
    <row r="14" spans="2:15">
      <c r="B14" s="1016"/>
      <c r="C14" s="1019"/>
      <c r="D14" s="1019"/>
      <c r="E14" s="1020"/>
      <c r="F14" s="1020"/>
      <c r="G14" s="1020"/>
      <c r="H14" s="989"/>
      <c r="I14" s="1020"/>
      <c r="J14" s="1020"/>
      <c r="K14" s="1020"/>
      <c r="L14" s="1020"/>
      <c r="M14" s="1020"/>
      <c r="N14" s="1020"/>
      <c r="O14" s="1020"/>
    </row>
    <row r="15" spans="2:15">
      <c r="B15" s="1016"/>
      <c r="C15" s="1019"/>
      <c r="D15" s="1019"/>
      <c r="E15" s="1020"/>
      <c r="F15" s="1020"/>
      <c r="G15" s="1020"/>
      <c r="H15" s="989"/>
      <c r="I15" s="1020"/>
      <c r="J15" s="1020"/>
      <c r="K15" s="1020"/>
      <c r="L15" s="1020"/>
      <c r="M15" s="1020"/>
      <c r="N15" s="1020"/>
      <c r="O15" s="1020"/>
    </row>
    <row r="16" spans="2:15">
      <c r="B16" s="1016"/>
      <c r="C16" s="1019"/>
      <c r="D16" s="1019"/>
      <c r="E16" s="1020"/>
      <c r="F16" s="1020"/>
      <c r="G16" s="1020"/>
      <c r="H16" s="989"/>
      <c r="I16" s="1020"/>
      <c r="J16" s="1020"/>
      <c r="K16" s="1020"/>
      <c r="L16" s="1020"/>
      <c r="M16" s="1020"/>
      <c r="N16" s="1020"/>
      <c r="O16" s="1020"/>
    </row>
    <row r="17" spans="2:15">
      <c r="B17" s="1016"/>
      <c r="C17" s="1019"/>
      <c r="D17" s="1019"/>
      <c r="E17" s="1020"/>
      <c r="F17" s="1020"/>
      <c r="G17" s="1020"/>
      <c r="H17" s="989"/>
      <c r="I17" s="1020"/>
      <c r="J17" s="1020"/>
      <c r="K17" s="1020"/>
      <c r="L17" s="1020"/>
      <c r="M17" s="1020"/>
      <c r="N17" s="1020"/>
      <c r="O17" s="1020"/>
    </row>
    <row r="18" spans="2:15">
      <c r="B18" s="1016"/>
      <c r="C18" s="1019"/>
      <c r="D18" s="1019"/>
      <c r="E18" s="1020"/>
      <c r="F18" s="1020"/>
      <c r="G18" s="1020"/>
      <c r="H18" s="989"/>
      <c r="I18" s="1020"/>
      <c r="J18" s="1020"/>
      <c r="K18" s="1020"/>
      <c r="L18" s="1020"/>
      <c r="M18" s="1020"/>
      <c r="N18" s="1020"/>
      <c r="O18" s="1020"/>
    </row>
    <row r="19" spans="2:15">
      <c r="B19" s="1016"/>
      <c r="C19" s="1019"/>
      <c r="D19" s="1019"/>
      <c r="E19" s="1020"/>
      <c r="F19" s="1020"/>
      <c r="G19" s="1020"/>
      <c r="H19" s="989"/>
      <c r="I19" s="1020"/>
      <c r="J19" s="1020"/>
      <c r="K19" s="1020"/>
      <c r="L19" s="1020"/>
      <c r="M19" s="1020"/>
      <c r="N19" s="1020"/>
      <c r="O19" s="1020"/>
    </row>
    <row r="20" spans="2:15">
      <c r="B20" s="1016"/>
      <c r="C20" s="1019"/>
      <c r="D20" s="1019"/>
      <c r="E20" s="1020"/>
      <c r="F20" s="1020"/>
      <c r="G20" s="1020"/>
      <c r="H20" s="989"/>
      <c r="I20" s="1020"/>
      <c r="J20" s="1020"/>
      <c r="K20" s="1020"/>
      <c r="L20" s="1020"/>
      <c r="M20" s="1020"/>
      <c r="N20" s="1020"/>
      <c r="O20" s="1020"/>
    </row>
    <row r="21" spans="2:15">
      <c r="B21" s="1016"/>
      <c r="C21" s="1019"/>
      <c r="D21" s="1019"/>
      <c r="E21" s="1020"/>
      <c r="F21" s="1020"/>
      <c r="G21" s="1020"/>
      <c r="H21" s="989"/>
      <c r="I21" s="1020"/>
      <c r="J21" s="1020"/>
      <c r="K21" s="1020"/>
      <c r="L21" s="1020"/>
      <c r="M21" s="1020"/>
      <c r="N21" s="1020"/>
      <c r="O21" s="1020"/>
    </row>
    <row r="22" spans="2:15">
      <c r="B22" s="1016"/>
      <c r="C22" s="1019"/>
      <c r="D22" s="1019"/>
      <c r="E22" s="1020"/>
      <c r="F22" s="1020"/>
      <c r="G22" s="1020"/>
      <c r="H22" s="989"/>
      <c r="I22" s="1020"/>
      <c r="J22" s="1020"/>
      <c r="K22" s="1020"/>
      <c r="L22" s="1020"/>
      <c r="M22" s="1020"/>
      <c r="N22" s="1020"/>
      <c r="O22" s="1020"/>
    </row>
    <row r="23" spans="2:15">
      <c r="B23" s="1016"/>
      <c r="C23" s="1019"/>
      <c r="D23" s="1019"/>
      <c r="E23" s="1020"/>
      <c r="F23" s="1020"/>
      <c r="G23" s="1020"/>
      <c r="H23" s="989"/>
      <c r="I23" s="1020"/>
      <c r="J23" s="1020"/>
      <c r="K23" s="1020"/>
      <c r="L23" s="1020"/>
      <c r="M23" s="1020"/>
      <c r="N23" s="1020"/>
      <c r="O23" s="1020"/>
    </row>
    <row r="24" spans="2:15">
      <c r="B24" s="1016"/>
      <c r="C24" s="1019"/>
      <c r="D24" s="1019"/>
      <c r="E24" s="1020"/>
      <c r="F24" s="1020"/>
      <c r="G24" s="1020"/>
      <c r="H24" s="989"/>
      <c r="I24" s="1020"/>
      <c r="J24" s="1020"/>
      <c r="K24" s="1020"/>
      <c r="L24" s="1020"/>
      <c r="M24" s="1020"/>
      <c r="N24" s="1020"/>
      <c r="O24" s="1020"/>
    </row>
    <row r="25" spans="2:15">
      <c r="B25" s="1016"/>
      <c r="C25" s="1019"/>
      <c r="D25" s="1019"/>
      <c r="E25" s="1020"/>
      <c r="F25" s="1020"/>
      <c r="G25" s="1020"/>
      <c r="H25" s="989"/>
      <c r="I25" s="1020"/>
      <c r="J25" s="1020"/>
      <c r="K25" s="1020"/>
      <c r="L25" s="1020"/>
      <c r="M25" s="1020"/>
      <c r="N25" s="1020"/>
      <c r="O25" s="1020"/>
    </row>
    <row r="26" spans="2:15">
      <c r="B26" s="1016"/>
      <c r="C26" s="1019"/>
      <c r="D26" s="1019"/>
      <c r="E26" s="1020"/>
      <c r="F26" s="1020"/>
      <c r="G26" s="1020"/>
      <c r="H26" s="989"/>
      <c r="I26" s="1020"/>
      <c r="J26" s="1020"/>
      <c r="K26" s="1020"/>
      <c r="L26" s="1020"/>
      <c r="M26" s="1020"/>
      <c r="N26" s="1020"/>
      <c r="O26" s="1020"/>
    </row>
    <row r="27" spans="2:15">
      <c r="B27" s="1016"/>
      <c r="C27" s="1019"/>
      <c r="D27" s="1019"/>
      <c r="E27" s="1020"/>
      <c r="F27" s="1020"/>
      <c r="G27" s="1020"/>
      <c r="H27" s="989"/>
      <c r="I27" s="1020"/>
      <c r="J27" s="1020"/>
      <c r="K27" s="1020"/>
      <c r="L27" s="1020"/>
      <c r="M27" s="1020"/>
      <c r="N27" s="1020"/>
      <c r="O27" s="1020"/>
    </row>
    <row r="28" spans="2:15">
      <c r="B28" s="1016"/>
      <c r="C28" s="1019"/>
      <c r="D28" s="1019"/>
      <c r="E28" s="1020"/>
      <c r="F28" s="1020"/>
      <c r="G28" s="1020"/>
      <c r="H28" s="989"/>
      <c r="I28" s="1020"/>
      <c r="J28" s="1020"/>
      <c r="K28" s="1020"/>
      <c r="L28" s="1020"/>
      <c r="M28" s="1020"/>
      <c r="N28" s="1020"/>
      <c r="O28" s="1020"/>
    </row>
    <row r="29" spans="2:15">
      <c r="B29" s="1016"/>
      <c r="C29" s="1019"/>
      <c r="D29" s="1019"/>
      <c r="E29" s="1020"/>
      <c r="F29" s="1020"/>
      <c r="G29" s="1020"/>
      <c r="H29" s="989"/>
      <c r="I29" s="1020"/>
      <c r="J29" s="1020"/>
      <c r="K29" s="1020"/>
      <c r="L29" s="1020"/>
      <c r="M29" s="1020"/>
      <c r="N29" s="1020"/>
      <c r="O29" s="1020"/>
    </row>
    <row r="30" spans="2:15">
      <c r="B30" s="1016"/>
      <c r="C30" s="1019"/>
      <c r="D30" s="1019"/>
      <c r="E30" s="1020"/>
      <c r="F30" s="1020"/>
      <c r="G30" s="1020"/>
      <c r="H30" s="989"/>
      <c r="I30" s="1020"/>
      <c r="J30" s="1020"/>
      <c r="K30" s="1020"/>
      <c r="L30" s="1020"/>
      <c r="M30" s="1020"/>
      <c r="N30" s="1020"/>
      <c r="O30" s="1020"/>
    </row>
    <row r="31" spans="2:15">
      <c r="B31" s="1016"/>
      <c r="C31" s="1019"/>
      <c r="D31" s="1019"/>
      <c r="E31" s="1020"/>
      <c r="F31" s="1020"/>
      <c r="G31" s="1020"/>
      <c r="H31" s="989"/>
      <c r="I31" s="1020"/>
      <c r="J31" s="1020"/>
      <c r="K31" s="1020"/>
      <c r="L31" s="1020"/>
      <c r="M31" s="1020"/>
      <c r="N31" s="1020"/>
      <c r="O31" s="1020"/>
    </row>
    <row r="32" spans="2:15">
      <c r="B32" s="1016"/>
      <c r="C32" s="1019"/>
      <c r="D32" s="1019"/>
      <c r="E32" s="1020"/>
      <c r="F32" s="1020"/>
      <c r="G32" s="1020"/>
      <c r="H32" s="989"/>
      <c r="I32" s="1020"/>
      <c r="J32" s="1020"/>
      <c r="K32" s="1020"/>
      <c r="L32" s="1020"/>
      <c r="M32" s="1020"/>
      <c r="N32" s="1020"/>
      <c r="O32" s="1020"/>
    </row>
    <row r="33" spans="2:15">
      <c r="B33" s="1016"/>
      <c r="C33" s="1019"/>
      <c r="D33" s="1019"/>
      <c r="E33" s="1020"/>
      <c r="F33" s="1020"/>
      <c r="G33" s="1020"/>
      <c r="H33" s="989"/>
      <c r="I33" s="1020"/>
      <c r="J33" s="1020"/>
      <c r="K33" s="1020"/>
      <c r="L33" s="1020"/>
      <c r="M33" s="1020"/>
      <c r="N33" s="1020"/>
      <c r="O33" s="1020"/>
    </row>
    <row r="34" spans="2:15">
      <c r="B34" s="1016"/>
      <c r="C34" s="1019"/>
      <c r="D34" s="1019"/>
      <c r="E34" s="1020"/>
      <c r="F34" s="1020"/>
      <c r="G34" s="1020"/>
      <c r="H34" s="989"/>
      <c r="I34" s="1020"/>
      <c r="J34" s="1020"/>
      <c r="K34" s="1020"/>
      <c r="L34" s="1020"/>
      <c r="M34" s="1020"/>
      <c r="N34" s="1020"/>
      <c r="O34" s="1020"/>
    </row>
    <row r="35" spans="2:15">
      <c r="B35" s="1016"/>
      <c r="C35" s="1019"/>
      <c r="D35" s="1019"/>
      <c r="E35" s="1020"/>
      <c r="F35" s="1020"/>
      <c r="G35" s="1020"/>
      <c r="H35" s="989"/>
      <c r="I35" s="1020"/>
      <c r="J35" s="1020"/>
      <c r="K35" s="1020"/>
      <c r="L35" s="1020"/>
      <c r="M35" s="1020"/>
      <c r="N35" s="1020"/>
      <c r="O35" s="1020"/>
    </row>
    <row r="36" spans="2:15">
      <c r="B36" s="1016"/>
      <c r="C36" s="1019"/>
      <c r="D36" s="1019"/>
      <c r="E36" s="1020"/>
      <c r="F36" s="1020"/>
      <c r="G36" s="1020"/>
      <c r="H36" s="989"/>
      <c r="I36" s="1020"/>
      <c r="J36" s="1020"/>
      <c r="K36" s="1020"/>
      <c r="L36" s="1020"/>
      <c r="M36" s="1020"/>
      <c r="N36" s="1020"/>
      <c r="O36" s="1020"/>
    </row>
    <row r="37" spans="2:15">
      <c r="B37" s="1016"/>
      <c r="C37" s="1019"/>
      <c r="D37" s="1019"/>
      <c r="E37" s="1020"/>
      <c r="F37" s="1020"/>
      <c r="G37" s="1020"/>
      <c r="H37" s="989"/>
      <c r="I37" s="1020"/>
      <c r="J37" s="1020"/>
      <c r="K37" s="1020"/>
      <c r="L37" s="1020"/>
      <c r="M37" s="1020"/>
      <c r="N37" s="1020"/>
      <c r="O37" s="1020"/>
    </row>
    <row r="38" spans="2:15">
      <c r="B38" s="1016"/>
      <c r="C38" s="1019"/>
      <c r="D38" s="1019"/>
      <c r="E38" s="1020"/>
      <c r="F38" s="1020"/>
      <c r="G38" s="1020"/>
      <c r="H38" s="989"/>
      <c r="I38" s="1020"/>
      <c r="J38" s="1020"/>
      <c r="K38" s="1020"/>
      <c r="L38" s="1020"/>
      <c r="M38" s="1020"/>
      <c r="N38" s="1020"/>
      <c r="O38" s="1020"/>
    </row>
    <row r="39" spans="2:15">
      <c r="B39" s="1016"/>
      <c r="C39" s="1019"/>
      <c r="D39" s="1019"/>
      <c r="E39" s="1020"/>
      <c r="F39" s="1020"/>
      <c r="G39" s="1020"/>
      <c r="H39" s="989"/>
      <c r="I39" s="1020"/>
      <c r="J39" s="1020"/>
      <c r="K39" s="1020"/>
      <c r="L39" s="1020"/>
      <c r="M39" s="1020"/>
      <c r="N39" s="1020"/>
      <c r="O39" s="1020"/>
    </row>
    <row r="40" spans="2:15">
      <c r="B40" s="1016"/>
      <c r="C40" s="1019"/>
      <c r="D40" s="1019"/>
      <c r="E40" s="1020"/>
      <c r="F40" s="1020"/>
      <c r="G40" s="1020"/>
      <c r="H40" s="989"/>
      <c r="I40" s="1020"/>
      <c r="J40" s="1020"/>
      <c r="K40" s="1020"/>
      <c r="L40" s="1020"/>
      <c r="M40" s="1020"/>
      <c r="N40" s="1020"/>
      <c r="O40" s="1020"/>
    </row>
    <row r="41" spans="2:15">
      <c r="B41" s="1016"/>
      <c r="C41" s="1019"/>
      <c r="D41" s="1019"/>
      <c r="E41" s="1020"/>
      <c r="F41" s="1020"/>
      <c r="G41" s="1020"/>
      <c r="H41" s="989"/>
      <c r="I41" s="1020"/>
      <c r="J41" s="1020"/>
      <c r="K41" s="1020"/>
      <c r="L41" s="1020"/>
      <c r="M41" s="1020"/>
      <c r="N41" s="1020"/>
      <c r="O41" s="1020"/>
    </row>
    <row r="42" spans="2:15">
      <c r="B42" s="1016"/>
      <c r="C42" s="1019"/>
      <c r="D42" s="1019"/>
      <c r="E42" s="1020"/>
      <c r="F42" s="1020"/>
      <c r="G42" s="1020"/>
      <c r="H42" s="989"/>
      <c r="I42" s="1020"/>
      <c r="J42" s="1020"/>
      <c r="K42" s="1020"/>
      <c r="L42" s="1020"/>
      <c r="M42" s="1020"/>
      <c r="N42" s="1020"/>
      <c r="O42" s="1020"/>
    </row>
    <row r="43" spans="2:15">
      <c r="B43" s="1016"/>
      <c r="C43" s="1019"/>
      <c r="D43" s="1019"/>
      <c r="E43" s="1020"/>
      <c r="F43" s="1020"/>
      <c r="G43" s="1020"/>
      <c r="H43" s="989"/>
      <c r="I43" s="1020"/>
      <c r="J43" s="1020"/>
      <c r="K43" s="1020"/>
      <c r="L43" s="1020"/>
      <c r="M43" s="1020"/>
      <c r="N43" s="1020"/>
      <c r="O43" s="1020"/>
    </row>
    <row r="44" spans="2:15">
      <c r="B44" s="1016"/>
      <c r="C44" s="1019"/>
      <c r="D44" s="1019"/>
      <c r="E44" s="1020"/>
      <c r="F44" s="1020"/>
      <c r="G44" s="1020"/>
      <c r="H44" s="989"/>
      <c r="I44" s="1020"/>
      <c r="J44" s="1020"/>
      <c r="K44" s="1020"/>
      <c r="L44" s="1020"/>
      <c r="M44" s="1020"/>
      <c r="N44" s="1020"/>
      <c r="O44" s="1020"/>
    </row>
    <row r="45" spans="2:15">
      <c r="B45" s="1016"/>
      <c r="C45" s="1019"/>
      <c r="D45" s="1019"/>
      <c r="E45" s="1020"/>
      <c r="F45" s="1020"/>
      <c r="G45" s="1020"/>
      <c r="H45" s="989"/>
      <c r="I45" s="1020"/>
      <c r="J45" s="1020"/>
      <c r="K45" s="1020"/>
      <c r="L45" s="1020"/>
      <c r="M45" s="1020"/>
      <c r="N45" s="1020"/>
      <c r="O45" s="1020"/>
    </row>
    <row r="46" spans="2:15">
      <c r="B46" s="1016"/>
      <c r="C46" s="1019"/>
      <c r="D46" s="1019"/>
      <c r="E46" s="1020"/>
      <c r="F46" s="1020"/>
      <c r="G46" s="1020"/>
      <c r="H46" s="989"/>
      <c r="I46" s="1020"/>
      <c r="J46" s="1020"/>
      <c r="K46" s="1020"/>
      <c r="L46" s="1020"/>
      <c r="M46" s="1020"/>
      <c r="N46" s="1020"/>
      <c r="O46" s="1020"/>
    </row>
    <row r="47" spans="2:15">
      <c r="B47" s="1016"/>
      <c r="C47" s="1019"/>
      <c r="D47" s="1019"/>
      <c r="E47" s="1020"/>
      <c r="F47" s="1020"/>
      <c r="G47" s="1020"/>
      <c r="H47" s="989"/>
      <c r="I47" s="1020"/>
      <c r="J47" s="1020"/>
      <c r="K47" s="1020"/>
      <c r="L47" s="1020"/>
      <c r="M47" s="1020"/>
      <c r="N47" s="1020"/>
      <c r="O47" s="1020"/>
    </row>
    <row r="48" spans="2:15">
      <c r="B48" s="1016"/>
      <c r="C48" s="1019"/>
      <c r="D48" s="1019"/>
      <c r="E48" s="1020"/>
      <c r="F48" s="1020"/>
      <c r="G48" s="1020"/>
      <c r="H48" s="989"/>
      <c r="I48" s="1020"/>
      <c r="J48" s="1020"/>
      <c r="K48" s="1020"/>
      <c r="L48" s="1020"/>
      <c r="M48" s="1020"/>
      <c r="N48" s="1020"/>
      <c r="O48" s="1020"/>
    </row>
    <row r="49" spans="2:15">
      <c r="B49" s="1016"/>
      <c r="C49" s="1019"/>
      <c r="D49" s="1019"/>
      <c r="E49" s="1020"/>
      <c r="F49" s="1020"/>
      <c r="G49" s="1020"/>
      <c r="H49" s="989"/>
      <c r="I49" s="1020"/>
      <c r="J49" s="1020"/>
      <c r="K49" s="1020"/>
      <c r="L49" s="1020"/>
      <c r="M49" s="1020"/>
      <c r="N49" s="1020"/>
      <c r="O49" s="1020"/>
    </row>
    <row r="50" spans="2:15">
      <c r="B50" s="1016"/>
      <c r="C50" s="1019"/>
      <c r="D50" s="1019"/>
      <c r="E50" s="1020"/>
      <c r="F50" s="1020"/>
      <c r="G50" s="1020"/>
      <c r="H50" s="989"/>
      <c r="I50" s="1020"/>
      <c r="J50" s="1020"/>
      <c r="K50" s="1020"/>
      <c r="L50" s="1020"/>
      <c r="M50" s="1020"/>
      <c r="N50" s="1020"/>
      <c r="O50" s="1020"/>
    </row>
    <row r="51" spans="2:15">
      <c r="B51" s="1016"/>
      <c r="C51" s="1019"/>
      <c r="D51" s="1019"/>
      <c r="E51" s="1020"/>
      <c r="F51" s="1020"/>
      <c r="G51" s="1020"/>
      <c r="H51" s="989"/>
      <c r="I51" s="1020"/>
      <c r="J51" s="1020"/>
      <c r="K51" s="1020"/>
      <c r="L51" s="1020"/>
      <c r="M51" s="1020"/>
      <c r="N51" s="1020"/>
      <c r="O51" s="1020"/>
    </row>
    <row r="52" spans="2:15">
      <c r="B52" s="1016"/>
      <c r="C52" s="1019"/>
      <c r="D52" s="1019"/>
      <c r="E52" s="1020"/>
      <c r="F52" s="1020"/>
      <c r="G52" s="1020"/>
      <c r="H52" s="989"/>
      <c r="I52" s="1020"/>
      <c r="J52" s="1020"/>
      <c r="K52" s="1020"/>
      <c r="L52" s="1020"/>
      <c r="M52" s="1020"/>
      <c r="N52" s="1020"/>
      <c r="O52" s="1020"/>
    </row>
    <row r="53" spans="2:15">
      <c r="B53" s="1016"/>
      <c r="C53" s="1019"/>
      <c r="D53" s="1019"/>
      <c r="E53" s="1020"/>
      <c r="F53" s="1020"/>
      <c r="G53" s="1020"/>
      <c r="H53" s="989"/>
      <c r="I53" s="1020"/>
      <c r="J53" s="1020"/>
      <c r="K53" s="1020"/>
      <c r="L53" s="1020"/>
      <c r="M53" s="1020"/>
      <c r="N53" s="1020"/>
      <c r="O53" s="1020"/>
    </row>
    <row r="54" spans="2:15">
      <c r="B54" s="1016"/>
      <c r="C54" s="1019"/>
      <c r="D54" s="1019"/>
      <c r="E54" s="1020"/>
      <c r="F54" s="1020"/>
      <c r="G54" s="1020"/>
      <c r="H54" s="989"/>
      <c r="I54" s="1020"/>
      <c r="J54" s="1020"/>
      <c r="K54" s="1020"/>
      <c r="L54" s="1020"/>
      <c r="M54" s="1020"/>
      <c r="N54" s="1020"/>
      <c r="O54" s="1020"/>
    </row>
    <row r="55" spans="2:15">
      <c r="B55" s="1016"/>
      <c r="C55" s="1019"/>
      <c r="D55" s="1019"/>
      <c r="E55" s="1020"/>
      <c r="F55" s="1020"/>
      <c r="G55" s="1020"/>
      <c r="H55" s="989"/>
      <c r="I55" s="1020"/>
      <c r="J55" s="1020"/>
      <c r="K55" s="1020"/>
      <c r="L55" s="1020"/>
      <c r="M55" s="1020"/>
      <c r="N55" s="1020"/>
      <c r="O55" s="1020"/>
    </row>
    <row r="56" spans="2:15">
      <c r="B56" s="1016"/>
      <c r="C56" s="1019"/>
      <c r="D56" s="1019"/>
      <c r="E56" s="1020"/>
      <c r="F56" s="1020"/>
      <c r="G56" s="1020"/>
      <c r="H56" s="989"/>
      <c r="I56" s="1020"/>
      <c r="J56" s="1020"/>
      <c r="K56" s="1020"/>
      <c r="L56" s="1020"/>
      <c r="M56" s="1020"/>
      <c r="N56" s="1020"/>
      <c r="O56" s="1020"/>
    </row>
    <row r="57" spans="2:15">
      <c r="B57" s="1016"/>
      <c r="C57" s="1019"/>
      <c r="D57" s="1019"/>
      <c r="E57" s="1020"/>
      <c r="F57" s="1020"/>
      <c r="G57" s="1020"/>
      <c r="H57" s="989"/>
      <c r="I57" s="1020"/>
      <c r="J57" s="1020"/>
      <c r="K57" s="1020"/>
      <c r="L57" s="1020"/>
      <c r="M57" s="1020"/>
      <c r="N57" s="1020"/>
      <c r="O57" s="1020"/>
    </row>
    <row r="58" spans="2:15">
      <c r="B58" s="1016"/>
      <c r="C58" s="1019"/>
      <c r="D58" s="1019"/>
      <c r="E58" s="1020"/>
      <c r="F58" s="1020"/>
      <c r="G58" s="1020"/>
      <c r="H58" s="989"/>
      <c r="I58" s="1020"/>
      <c r="J58" s="1020"/>
      <c r="K58" s="1020"/>
      <c r="L58" s="1020"/>
      <c r="M58" s="1020"/>
      <c r="N58" s="1020"/>
      <c r="O58" s="1020"/>
    </row>
    <row r="59" spans="2:15">
      <c r="B59" s="1016"/>
      <c r="C59" s="1019"/>
      <c r="D59" s="1019"/>
      <c r="E59" s="1020"/>
      <c r="F59" s="1020"/>
      <c r="G59" s="1020"/>
      <c r="H59" s="989"/>
      <c r="I59" s="1020"/>
      <c r="J59" s="1020"/>
      <c r="K59" s="1020"/>
      <c r="L59" s="1020"/>
      <c r="M59" s="1020"/>
      <c r="N59" s="1020"/>
      <c r="O59" s="1020"/>
    </row>
    <row r="60" spans="2:15">
      <c r="B60" s="1016"/>
      <c r="C60" s="1019"/>
      <c r="D60" s="1019"/>
      <c r="E60" s="1020"/>
      <c r="F60" s="1020"/>
      <c r="G60" s="1020"/>
      <c r="H60" s="989"/>
      <c r="I60" s="1020"/>
      <c r="J60" s="1020"/>
      <c r="K60" s="1020"/>
      <c r="L60" s="1020"/>
      <c r="M60" s="1020"/>
      <c r="N60" s="1020"/>
      <c r="O60" s="1020"/>
    </row>
    <row r="61" spans="2:15">
      <c r="B61" s="1016"/>
      <c r="C61" s="1019"/>
      <c r="D61" s="1019"/>
      <c r="E61" s="1020"/>
      <c r="F61" s="1020"/>
      <c r="G61" s="1020"/>
      <c r="H61" s="989"/>
      <c r="I61" s="1020"/>
      <c r="J61" s="1020"/>
      <c r="K61" s="1020"/>
      <c r="L61" s="1020"/>
      <c r="M61" s="1020"/>
      <c r="N61" s="1020"/>
      <c r="O61" s="1020"/>
    </row>
    <row r="62" spans="2:15">
      <c r="B62" s="1016"/>
      <c r="C62" s="1019"/>
      <c r="D62" s="1019"/>
      <c r="E62" s="1020"/>
      <c r="F62" s="1020"/>
      <c r="G62" s="1020"/>
      <c r="H62" s="989"/>
      <c r="I62" s="1020"/>
      <c r="J62" s="1020"/>
      <c r="K62" s="1020"/>
      <c r="L62" s="1020"/>
      <c r="M62" s="1020"/>
      <c r="N62" s="1020"/>
      <c r="O62" s="1020"/>
    </row>
    <row r="63" spans="2:15">
      <c r="B63" s="1016"/>
      <c r="C63" s="1019"/>
      <c r="D63" s="1019"/>
      <c r="E63" s="1020"/>
      <c r="F63" s="1020"/>
      <c r="G63" s="1020"/>
      <c r="H63" s="989"/>
      <c r="I63" s="1020"/>
      <c r="J63" s="1020"/>
      <c r="K63" s="1020"/>
      <c r="L63" s="1020"/>
      <c r="M63" s="1020"/>
      <c r="N63" s="1020"/>
      <c r="O63" s="1020"/>
    </row>
    <row r="64" spans="2:15">
      <c r="B64" s="1016"/>
      <c r="C64" s="1019"/>
      <c r="D64" s="1019"/>
      <c r="E64" s="1020"/>
      <c r="F64" s="1020"/>
      <c r="G64" s="1020"/>
      <c r="H64" s="989"/>
      <c r="I64" s="1020"/>
      <c r="J64" s="1020"/>
      <c r="K64" s="1020"/>
      <c r="L64" s="1020"/>
      <c r="M64" s="1020"/>
      <c r="N64" s="1020"/>
      <c r="O64" s="1020"/>
    </row>
    <row r="65" spans="2:15">
      <c r="B65" s="1016"/>
      <c r="C65" s="1019"/>
      <c r="D65" s="1019"/>
      <c r="E65" s="1020"/>
      <c r="F65" s="1020"/>
      <c r="G65" s="1020"/>
      <c r="H65" s="989"/>
      <c r="I65" s="1020"/>
      <c r="J65" s="1020"/>
      <c r="K65" s="1020"/>
      <c r="L65" s="1020"/>
      <c r="M65" s="1020"/>
      <c r="N65" s="1020"/>
      <c r="O65" s="1020"/>
    </row>
    <row r="66" spans="2:15">
      <c r="B66" s="1016"/>
      <c r="C66" s="1019"/>
      <c r="D66" s="1019"/>
      <c r="E66" s="1020"/>
      <c r="F66" s="1020"/>
      <c r="G66" s="1020"/>
      <c r="H66" s="989"/>
      <c r="I66" s="1020"/>
      <c r="J66" s="1020"/>
      <c r="K66" s="1020"/>
      <c r="L66" s="1020"/>
      <c r="M66" s="1020"/>
      <c r="N66" s="1020"/>
      <c r="O66" s="1020"/>
    </row>
    <row r="67" spans="2:15">
      <c r="B67" s="1016"/>
      <c r="C67" s="1019"/>
      <c r="D67" s="1019"/>
      <c r="E67" s="1020"/>
      <c r="F67" s="1020"/>
      <c r="G67" s="1020"/>
      <c r="H67" s="989"/>
      <c r="I67" s="1020"/>
      <c r="J67" s="1020"/>
      <c r="K67" s="1020"/>
      <c r="L67" s="1020"/>
      <c r="M67" s="1020"/>
      <c r="N67" s="1020"/>
      <c r="O67" s="1020"/>
    </row>
    <row r="68" spans="2:15">
      <c r="B68" s="1016"/>
      <c r="C68" s="1019"/>
      <c r="D68" s="1019"/>
      <c r="E68" s="1020"/>
      <c r="F68" s="1020"/>
      <c r="G68" s="1020"/>
      <c r="H68" s="989"/>
      <c r="I68" s="1020"/>
      <c r="J68" s="1020"/>
      <c r="K68" s="1020"/>
      <c r="L68" s="1020"/>
      <c r="M68" s="1020"/>
      <c r="N68" s="1020"/>
      <c r="O68" s="1020"/>
    </row>
    <row r="69" spans="2:15">
      <c r="B69" s="1016"/>
      <c r="C69" s="1019"/>
      <c r="D69" s="1019"/>
      <c r="E69" s="1020"/>
      <c r="F69" s="1020"/>
      <c r="G69" s="1020"/>
      <c r="H69" s="989"/>
      <c r="I69" s="1020"/>
      <c r="J69" s="1020"/>
      <c r="K69" s="1020"/>
      <c r="L69" s="1020"/>
      <c r="M69" s="1020"/>
      <c r="N69" s="1020"/>
      <c r="O69" s="1020"/>
    </row>
    <row r="70" spans="2:15">
      <c r="B70" s="1016"/>
      <c r="C70" s="1019"/>
      <c r="D70" s="1019"/>
      <c r="E70" s="1020"/>
      <c r="F70" s="1020"/>
      <c r="G70" s="1020"/>
      <c r="H70" s="989"/>
      <c r="I70" s="1020"/>
      <c r="J70" s="1020"/>
      <c r="K70" s="1020"/>
      <c r="L70" s="1020"/>
      <c r="M70" s="1020"/>
      <c r="N70" s="1020"/>
      <c r="O70" s="1020"/>
    </row>
    <row r="71" spans="2:15">
      <c r="B71" s="1016"/>
      <c r="C71" s="1019"/>
      <c r="D71" s="1019"/>
      <c r="E71" s="1020"/>
      <c r="F71" s="1020"/>
      <c r="G71" s="1020"/>
      <c r="H71" s="989"/>
      <c r="I71" s="1020"/>
      <c r="J71" s="1020"/>
      <c r="K71" s="1020"/>
      <c r="L71" s="1020"/>
      <c r="M71" s="1020"/>
      <c r="N71" s="1020"/>
      <c r="O71" s="1020"/>
    </row>
    <row r="72" spans="2:15">
      <c r="B72" s="1016"/>
      <c r="C72" s="1019"/>
      <c r="D72" s="1019"/>
      <c r="E72" s="1020"/>
      <c r="F72" s="1020"/>
      <c r="G72" s="1020"/>
      <c r="H72" s="989"/>
      <c r="I72" s="1020"/>
      <c r="J72" s="1020"/>
      <c r="K72" s="1020"/>
      <c r="L72" s="1020"/>
      <c r="M72" s="1020"/>
      <c r="N72" s="1020"/>
      <c r="O72" s="1020"/>
    </row>
    <row r="73" spans="2:15">
      <c r="B73" s="1016"/>
      <c r="C73" s="1019"/>
      <c r="D73" s="1019"/>
      <c r="E73" s="1020"/>
      <c r="F73" s="1020"/>
      <c r="G73" s="1020"/>
      <c r="H73" s="989"/>
      <c r="I73" s="1020"/>
      <c r="J73" s="1020"/>
      <c r="K73" s="1020"/>
      <c r="L73" s="1020"/>
      <c r="M73" s="1020"/>
      <c r="N73" s="1020"/>
      <c r="O73" s="1020"/>
    </row>
    <row r="74" spans="2:15">
      <c r="B74" s="1016"/>
      <c r="C74" s="1019"/>
      <c r="D74" s="1019"/>
      <c r="E74" s="1020"/>
      <c r="F74" s="1020"/>
      <c r="G74" s="1020"/>
      <c r="H74" s="989"/>
      <c r="I74" s="1020"/>
      <c r="J74" s="1020"/>
      <c r="K74" s="1020"/>
      <c r="L74" s="1020"/>
      <c r="M74" s="1020"/>
      <c r="N74" s="1020"/>
      <c r="O74" s="1020"/>
    </row>
    <row r="75" spans="2:15">
      <c r="B75" s="1016"/>
      <c r="C75" s="1019"/>
      <c r="D75" s="1019"/>
      <c r="E75" s="1020"/>
      <c r="F75" s="1020"/>
      <c r="G75" s="1020"/>
      <c r="H75" s="989"/>
      <c r="I75" s="1020"/>
      <c r="J75" s="1020"/>
      <c r="K75" s="1020"/>
      <c r="L75" s="1020"/>
      <c r="M75" s="1020"/>
      <c r="N75" s="1020"/>
      <c r="O75" s="1020"/>
    </row>
    <row r="76" spans="2:15">
      <c r="B76" s="1016"/>
      <c r="C76" s="1019"/>
      <c r="D76" s="1019"/>
      <c r="E76" s="1020"/>
      <c r="F76" s="1020"/>
      <c r="G76" s="1020"/>
      <c r="H76" s="989"/>
      <c r="I76" s="1020"/>
      <c r="J76" s="1020"/>
      <c r="K76" s="1020"/>
      <c r="L76" s="1020"/>
      <c r="M76" s="1020"/>
      <c r="N76" s="1020"/>
      <c r="O76" s="1020"/>
    </row>
    <row r="77" spans="2:15">
      <c r="B77" s="1016"/>
      <c r="C77" s="1019"/>
      <c r="D77" s="1019"/>
      <c r="E77" s="1020"/>
      <c r="F77" s="1020"/>
      <c r="G77" s="1020"/>
      <c r="H77" s="989"/>
      <c r="I77" s="1020"/>
      <c r="J77" s="1020"/>
      <c r="K77" s="1020"/>
      <c r="L77" s="1020"/>
      <c r="M77" s="1020"/>
      <c r="N77" s="1020"/>
      <c r="O77" s="1020"/>
    </row>
    <row r="78" spans="2:15">
      <c r="B78" s="1016"/>
      <c r="C78" s="1019"/>
      <c r="D78" s="1019"/>
      <c r="E78" s="1020"/>
      <c r="F78" s="1020"/>
      <c r="G78" s="1020"/>
      <c r="H78" s="989"/>
      <c r="I78" s="1020"/>
      <c r="J78" s="1020"/>
      <c r="K78" s="1020"/>
      <c r="L78" s="1020"/>
      <c r="M78" s="1020"/>
      <c r="N78" s="1020"/>
      <c r="O78" s="1020"/>
    </row>
    <row r="79" spans="2:15">
      <c r="B79" s="1016"/>
      <c r="C79" s="1019"/>
      <c r="D79" s="1019"/>
      <c r="E79" s="1020"/>
      <c r="F79" s="1020"/>
      <c r="G79" s="1020"/>
      <c r="H79" s="989"/>
      <c r="I79" s="1020"/>
      <c r="J79" s="1020"/>
      <c r="K79" s="1020"/>
      <c r="L79" s="1020"/>
      <c r="M79" s="1020"/>
      <c r="N79" s="1020"/>
      <c r="O79" s="1020"/>
    </row>
    <row r="80" spans="2:15">
      <c r="B80" s="1016"/>
      <c r="C80" s="1019"/>
      <c r="D80" s="1019"/>
      <c r="E80" s="1020"/>
      <c r="F80" s="1020"/>
      <c r="G80" s="1020"/>
      <c r="H80" s="989"/>
      <c r="I80" s="1020"/>
      <c r="J80" s="1020"/>
      <c r="K80" s="1020"/>
      <c r="L80" s="1020"/>
      <c r="M80" s="1020"/>
      <c r="N80" s="1020"/>
      <c r="O80" s="1020"/>
    </row>
    <row r="81" spans="2:15">
      <c r="B81" s="1016"/>
      <c r="C81" s="1019"/>
      <c r="D81" s="1019"/>
      <c r="E81" s="1020"/>
      <c r="F81" s="1020"/>
      <c r="G81" s="1020"/>
      <c r="H81" s="989"/>
      <c r="I81" s="1020"/>
      <c r="J81" s="1020"/>
      <c r="K81" s="1020"/>
      <c r="L81" s="1020"/>
      <c r="M81" s="1020"/>
      <c r="N81" s="1020"/>
      <c r="O81" s="1020"/>
    </row>
    <row r="82" spans="2:15">
      <c r="B82" s="1016"/>
      <c r="C82" s="1019"/>
      <c r="D82" s="1019"/>
      <c r="E82" s="1020"/>
      <c r="F82" s="1020"/>
      <c r="G82" s="1020"/>
      <c r="H82" s="989"/>
      <c r="I82" s="1020"/>
      <c r="J82" s="1020"/>
      <c r="K82" s="1020"/>
      <c r="L82" s="1020"/>
      <c r="M82" s="1020"/>
      <c r="N82" s="1020"/>
      <c r="O82" s="1020"/>
    </row>
    <row r="83" spans="2:15">
      <c r="B83" s="1016"/>
      <c r="C83" s="1019"/>
      <c r="D83" s="1019"/>
      <c r="E83" s="1020"/>
      <c r="F83" s="1020"/>
      <c r="G83" s="1020"/>
      <c r="H83" s="989"/>
      <c r="I83" s="1020"/>
      <c r="J83" s="1020"/>
      <c r="K83" s="1020"/>
      <c r="L83" s="1020"/>
      <c r="M83" s="1020"/>
      <c r="N83" s="1020"/>
      <c r="O83" s="1020"/>
    </row>
    <row r="84" spans="2:15">
      <c r="B84" s="1016"/>
      <c r="C84" s="1019"/>
      <c r="D84" s="1019"/>
      <c r="E84" s="1020"/>
      <c r="F84" s="1020"/>
      <c r="G84" s="1020"/>
      <c r="H84" s="989"/>
      <c r="I84" s="1020"/>
      <c r="J84" s="1020"/>
      <c r="K84" s="1020"/>
      <c r="L84" s="1020"/>
      <c r="M84" s="1020"/>
      <c r="N84" s="1020"/>
      <c r="O84" s="1020"/>
    </row>
    <row r="85" spans="2:15">
      <c r="B85" s="1016"/>
      <c r="C85" s="1019"/>
      <c r="D85" s="1019"/>
      <c r="E85" s="1020"/>
      <c r="F85" s="1020"/>
      <c r="G85" s="1020"/>
      <c r="H85" s="989"/>
      <c r="I85" s="1020"/>
      <c r="J85" s="1020"/>
      <c r="K85" s="1020"/>
      <c r="L85" s="1020"/>
      <c r="M85" s="1020"/>
      <c r="N85" s="1020"/>
      <c r="O85" s="1020"/>
    </row>
    <row r="86" spans="2:15">
      <c r="B86" s="1016"/>
      <c r="C86" s="1019"/>
      <c r="D86" s="1019"/>
      <c r="E86" s="1020"/>
      <c r="F86" s="1020"/>
      <c r="G86" s="1020"/>
      <c r="H86" s="989"/>
      <c r="I86" s="1020"/>
      <c r="J86" s="1020"/>
      <c r="K86" s="1020"/>
      <c r="L86" s="1020"/>
      <c r="M86" s="1020"/>
      <c r="N86" s="1020"/>
      <c r="O86" s="1020"/>
    </row>
    <row r="87" spans="2:15">
      <c r="B87" s="1016"/>
      <c r="C87" s="1019"/>
      <c r="D87" s="1019"/>
      <c r="E87" s="1020"/>
      <c r="F87" s="1020"/>
      <c r="G87" s="1020"/>
      <c r="H87" s="989"/>
      <c r="I87" s="1020"/>
      <c r="J87" s="1020"/>
      <c r="K87" s="1020"/>
      <c r="L87" s="1020"/>
      <c r="M87" s="1020"/>
      <c r="N87" s="1020"/>
      <c r="O87" s="1020"/>
    </row>
    <row r="88" spans="2:15">
      <c r="B88" s="1016"/>
      <c r="C88" s="1019"/>
      <c r="D88" s="1019"/>
      <c r="E88" s="1020"/>
      <c r="F88" s="1020"/>
      <c r="G88" s="1020"/>
      <c r="H88" s="989"/>
      <c r="I88" s="1020"/>
      <c r="J88" s="1020"/>
      <c r="K88" s="1020"/>
      <c r="L88" s="1020"/>
      <c r="M88" s="1020"/>
      <c r="N88" s="1020"/>
      <c r="O88" s="1020"/>
    </row>
    <row r="89" spans="2:15">
      <c r="B89" s="1016"/>
      <c r="C89" s="1019"/>
      <c r="D89" s="1019"/>
      <c r="E89" s="1020"/>
      <c r="F89" s="1020"/>
      <c r="G89" s="1020"/>
      <c r="H89" s="989"/>
      <c r="I89" s="1020"/>
      <c r="J89" s="1020"/>
      <c r="K89" s="1020"/>
      <c r="L89" s="1020"/>
      <c r="M89" s="1020"/>
      <c r="N89" s="1020"/>
      <c r="O89" s="1020"/>
    </row>
    <row r="90" spans="2:15">
      <c r="B90" s="1016"/>
      <c r="C90" s="1019"/>
      <c r="D90" s="1019"/>
      <c r="E90" s="1020"/>
      <c r="F90" s="1020"/>
      <c r="G90" s="1020"/>
      <c r="H90" s="989"/>
      <c r="I90" s="1020"/>
      <c r="J90" s="1020"/>
      <c r="K90" s="1020"/>
      <c r="L90" s="1020"/>
      <c r="M90" s="1020"/>
      <c r="N90" s="1020"/>
      <c r="O90" s="1020"/>
    </row>
    <row r="91" spans="2:15">
      <c r="B91" s="1016"/>
      <c r="C91" s="1019"/>
      <c r="D91" s="1019"/>
      <c r="E91" s="1020"/>
      <c r="F91" s="1020"/>
      <c r="G91" s="1020"/>
      <c r="H91" s="989"/>
      <c r="I91" s="1020"/>
      <c r="J91" s="1020"/>
      <c r="K91" s="1020"/>
      <c r="L91" s="1020"/>
      <c r="M91" s="1020"/>
      <c r="N91" s="1020"/>
      <c r="O91" s="1020"/>
    </row>
    <row r="92" spans="2:15">
      <c r="B92" s="1016"/>
      <c r="C92" s="1019"/>
      <c r="D92" s="1019"/>
      <c r="E92" s="1020"/>
      <c r="F92" s="1020"/>
      <c r="G92" s="1020"/>
      <c r="H92" s="989"/>
      <c r="I92" s="1020"/>
      <c r="J92" s="1020"/>
      <c r="K92" s="1020"/>
      <c r="L92" s="1020"/>
      <c r="M92" s="1020"/>
      <c r="N92" s="1020"/>
      <c r="O92" s="1020"/>
    </row>
    <row r="93" spans="2:15">
      <c r="B93" s="1016"/>
      <c r="C93" s="1019"/>
      <c r="D93" s="1019"/>
      <c r="E93" s="1020"/>
      <c r="F93" s="1020"/>
      <c r="G93" s="1020"/>
      <c r="H93" s="989"/>
      <c r="I93" s="1020"/>
      <c r="J93" s="1020"/>
      <c r="K93" s="1020"/>
      <c r="L93" s="1020"/>
      <c r="M93" s="1020"/>
      <c r="N93" s="1020"/>
      <c r="O93" s="1020"/>
    </row>
    <row r="94" spans="2:15">
      <c r="B94" s="1016"/>
      <c r="C94" s="1019"/>
      <c r="D94" s="1019"/>
      <c r="E94" s="1020"/>
      <c r="F94" s="1020"/>
      <c r="G94" s="1020"/>
      <c r="H94" s="989"/>
      <c r="I94" s="1020"/>
      <c r="J94" s="1020"/>
      <c r="K94" s="1020"/>
      <c r="L94" s="1020"/>
      <c r="M94" s="1020"/>
      <c r="N94" s="1020"/>
      <c r="O94" s="1020"/>
    </row>
    <row r="95" spans="2:15">
      <c r="B95" s="1016"/>
      <c r="C95" s="1019"/>
      <c r="D95" s="1019"/>
      <c r="E95" s="1020"/>
      <c r="F95" s="1020"/>
      <c r="G95" s="1020"/>
      <c r="H95" s="989"/>
      <c r="I95" s="1020"/>
      <c r="J95" s="1020"/>
      <c r="K95" s="1020"/>
      <c r="L95" s="1020"/>
      <c r="M95" s="1020"/>
      <c r="N95" s="1020"/>
      <c r="O95" s="1020"/>
    </row>
    <row r="96" spans="2:15">
      <c r="B96" s="1016"/>
      <c r="C96" s="1019"/>
      <c r="D96" s="1019"/>
      <c r="E96" s="1020"/>
      <c r="F96" s="1020"/>
      <c r="G96" s="1020"/>
      <c r="H96" s="989"/>
      <c r="I96" s="1020"/>
      <c r="J96" s="1020"/>
      <c r="K96" s="1020"/>
      <c r="L96" s="1020"/>
      <c r="M96" s="1020"/>
      <c r="N96" s="1020"/>
      <c r="O96" s="1020"/>
    </row>
    <row r="97" spans="2:15">
      <c r="B97" s="1016"/>
      <c r="C97" s="1019"/>
      <c r="D97" s="1019"/>
      <c r="E97" s="1020"/>
      <c r="F97" s="1020"/>
      <c r="G97" s="1020"/>
      <c r="H97" s="989"/>
      <c r="I97" s="1020"/>
      <c r="J97" s="1020"/>
      <c r="K97" s="1020"/>
      <c r="L97" s="1020"/>
      <c r="M97" s="1020"/>
      <c r="N97" s="1020"/>
      <c r="O97" s="1020"/>
    </row>
    <row r="98" spans="2:15">
      <c r="B98" s="1016"/>
      <c r="C98" s="1019"/>
      <c r="D98" s="1019"/>
      <c r="E98" s="1020"/>
      <c r="F98" s="1020"/>
      <c r="G98" s="1020"/>
      <c r="H98" s="989"/>
      <c r="I98" s="1020"/>
      <c r="J98" s="1020"/>
      <c r="K98" s="1020"/>
      <c r="L98" s="1020"/>
      <c r="M98" s="1020"/>
      <c r="N98" s="1020"/>
      <c r="O98" s="1020"/>
    </row>
    <row r="99" spans="2:15">
      <c r="B99" s="1016"/>
      <c r="C99" s="1019"/>
      <c r="D99" s="1019"/>
      <c r="E99" s="1020"/>
      <c r="F99" s="1020"/>
      <c r="G99" s="1020"/>
      <c r="H99" s="989"/>
      <c r="I99" s="1020"/>
      <c r="J99" s="1020"/>
      <c r="K99" s="1020"/>
      <c r="L99" s="1020"/>
      <c r="M99" s="1020"/>
      <c r="N99" s="1020"/>
      <c r="O99" s="1020"/>
    </row>
    <row r="100" spans="2:15">
      <c r="B100" s="1016"/>
      <c r="C100" s="1019"/>
      <c r="D100" s="1019"/>
      <c r="E100" s="1020"/>
      <c r="F100" s="1020"/>
      <c r="G100" s="1020"/>
      <c r="H100" s="989"/>
      <c r="I100" s="1020"/>
      <c r="J100" s="1020"/>
      <c r="K100" s="1020"/>
      <c r="L100" s="1020"/>
      <c r="M100" s="1020"/>
      <c r="N100" s="1020"/>
      <c r="O100" s="1020"/>
    </row>
    <row r="101" spans="2:15">
      <c r="B101" s="1016"/>
      <c r="C101" s="1019"/>
      <c r="D101" s="1019"/>
      <c r="E101" s="1020"/>
      <c r="F101" s="1020"/>
      <c r="G101" s="1020"/>
      <c r="H101" s="989"/>
      <c r="I101" s="1020"/>
      <c r="J101" s="1020"/>
      <c r="K101" s="1020"/>
      <c r="L101" s="1020"/>
      <c r="M101" s="1020"/>
      <c r="N101" s="1020"/>
      <c r="O101" s="1020"/>
    </row>
    <row r="102" spans="2:15">
      <c r="B102" s="1016"/>
      <c r="C102" s="1019"/>
      <c r="D102" s="1019"/>
      <c r="E102" s="1020"/>
      <c r="F102" s="1020"/>
      <c r="G102" s="1020"/>
      <c r="H102" s="989"/>
      <c r="I102" s="1020"/>
      <c r="J102" s="1020"/>
      <c r="K102" s="1020"/>
      <c r="L102" s="1020"/>
      <c r="M102" s="1020"/>
      <c r="N102" s="1020"/>
      <c r="O102" s="1020"/>
    </row>
    <row r="103" spans="2:15">
      <c r="B103" s="1016"/>
      <c r="C103" s="1019"/>
      <c r="D103" s="1019"/>
      <c r="E103" s="1020"/>
      <c r="F103" s="1020"/>
      <c r="G103" s="1020"/>
      <c r="H103" s="989"/>
      <c r="I103" s="1020"/>
      <c r="J103" s="1020"/>
      <c r="K103" s="1020"/>
      <c r="L103" s="1020"/>
      <c r="M103" s="1020"/>
      <c r="N103" s="1020"/>
      <c r="O103" s="1020"/>
    </row>
    <row r="104" spans="2:15">
      <c r="B104" s="1016"/>
      <c r="C104" s="1019"/>
      <c r="D104" s="1019"/>
      <c r="E104" s="1020"/>
      <c r="F104" s="1020"/>
      <c r="G104" s="1020"/>
      <c r="H104" s="989"/>
      <c r="I104" s="1020"/>
      <c r="J104" s="1020"/>
      <c r="K104" s="1020"/>
      <c r="L104" s="1020"/>
      <c r="M104" s="1020"/>
      <c r="N104" s="1020"/>
      <c r="O104" s="1020"/>
    </row>
    <row r="105" spans="2:15">
      <c r="B105" s="1016"/>
      <c r="C105" s="1019"/>
      <c r="D105" s="1019"/>
      <c r="E105" s="1020"/>
      <c r="F105" s="1020"/>
      <c r="G105" s="1020"/>
      <c r="H105" s="989"/>
      <c r="I105" s="1020"/>
      <c r="J105" s="1020"/>
      <c r="K105" s="1020"/>
      <c r="L105" s="1020"/>
      <c r="M105" s="1020"/>
      <c r="N105" s="1020"/>
      <c r="O105" s="1020"/>
    </row>
    <row r="106" spans="2:15">
      <c r="B106" s="1016"/>
      <c r="C106" s="1019"/>
      <c r="D106" s="1019"/>
      <c r="E106" s="1020"/>
      <c r="F106" s="1020"/>
      <c r="G106" s="1020"/>
      <c r="H106" s="989"/>
      <c r="I106" s="1020"/>
      <c r="J106" s="1020"/>
      <c r="K106" s="1020"/>
      <c r="L106" s="1020"/>
      <c r="M106" s="1020"/>
      <c r="N106" s="1020"/>
      <c r="O106" s="1020"/>
    </row>
    <row r="107" spans="2:15">
      <c r="B107" s="1016"/>
      <c r="C107" s="1019"/>
      <c r="D107" s="1019"/>
      <c r="E107" s="1020"/>
      <c r="F107" s="1020"/>
      <c r="G107" s="1020"/>
      <c r="H107" s="989"/>
      <c r="I107" s="1020"/>
      <c r="J107" s="1020"/>
      <c r="K107" s="1020"/>
      <c r="L107" s="1020"/>
      <c r="M107" s="1020"/>
      <c r="N107" s="1020"/>
      <c r="O107" s="1020"/>
    </row>
    <row r="108" spans="2:15">
      <c r="B108" s="1016"/>
      <c r="C108" s="1019"/>
      <c r="D108" s="1019"/>
      <c r="E108" s="1020"/>
      <c r="F108" s="1020"/>
      <c r="G108" s="1020"/>
      <c r="H108" s="989"/>
      <c r="I108" s="1020"/>
      <c r="J108" s="1020"/>
      <c r="K108" s="1020"/>
      <c r="L108" s="1020"/>
      <c r="M108" s="1020"/>
      <c r="N108" s="1020"/>
      <c r="O108" s="1020"/>
    </row>
    <row r="109" spans="2:15">
      <c r="B109" s="1016"/>
      <c r="C109" s="1019"/>
      <c r="D109" s="1019"/>
      <c r="E109" s="1020"/>
      <c r="F109" s="1020"/>
      <c r="G109" s="1020"/>
      <c r="H109" s="989"/>
      <c r="I109" s="1020"/>
      <c r="J109" s="1020"/>
      <c r="K109" s="1020"/>
      <c r="L109" s="1020"/>
      <c r="M109" s="1020"/>
      <c r="N109" s="1020"/>
      <c r="O109" s="1020"/>
    </row>
    <row r="110" spans="2:15">
      <c r="B110" s="970"/>
      <c r="C110" s="971"/>
      <c r="D110" s="970"/>
      <c r="E110" s="970"/>
      <c r="F110" s="970"/>
      <c r="G110" s="970"/>
      <c r="H110" s="970"/>
      <c r="I110" s="970"/>
      <c r="J110" s="970"/>
      <c r="K110" s="970"/>
      <c r="L110" s="970"/>
      <c r="M110" s="970"/>
      <c r="N110" s="970"/>
      <c r="O110" s="970"/>
    </row>
    <row r="111" spans="2:15">
      <c r="C111" s="1278"/>
      <c r="D111" s="1279"/>
      <c r="E111" s="1279"/>
      <c r="F111" s="1279"/>
      <c r="G111" s="1279"/>
      <c r="H111" s="1279"/>
      <c r="I111" s="1279"/>
      <c r="J111" s="1279"/>
      <c r="K111" s="1279"/>
      <c r="L111" s="1279"/>
      <c r="M111" s="1279"/>
      <c r="N111" s="1279"/>
      <c r="O111" s="1279"/>
    </row>
  </sheetData>
  <sheetProtection password="E9D4" sheet="1" objects="1" scenarios="1"/>
  <mergeCells count="5">
    <mergeCell ref="C111:O111"/>
    <mergeCell ref="C6:C7"/>
    <mergeCell ref="B6:B7"/>
    <mergeCell ref="D6:O6"/>
    <mergeCell ref="M1:O1"/>
  </mergeCells>
  <dataValidations count="1">
    <dataValidation type="list" allowBlank="1" showInputMessage="1" showErrorMessage="1" sqref="H11:H109">
      <formula1>"Standard, Substandard, Doubtful, Dangerous, Bad"</formula1>
    </dataValidation>
  </dataValidations>
  <pageMargins left="0.13" right="0.17" top="0.19685039370078741" bottom="0.19685039370078741" header="0.11811023622047245" footer="0.11811023622047245"/>
  <pageSetup paperSize="9" scale="85" orientation="landscape" r:id="rId1"/>
</worksheet>
</file>

<file path=xl/worksheets/sheet49.xml><?xml version="1.0" encoding="utf-8"?>
<worksheet xmlns="http://schemas.openxmlformats.org/spreadsheetml/2006/main" xmlns:r="http://schemas.openxmlformats.org/officeDocument/2006/relationships">
  <sheetPr codeName="Лист51"/>
  <dimension ref="B1:O61"/>
  <sheetViews>
    <sheetView workbookViewId="0"/>
  </sheetViews>
  <sheetFormatPr defaultColWidth="8.85546875" defaultRowHeight="15"/>
  <cols>
    <col min="1" max="1" width="0.7109375" style="993" customWidth="1"/>
    <col min="2" max="2" width="7.42578125" style="993" customWidth="1"/>
    <col min="3" max="3" width="25.5703125" style="993" customWidth="1"/>
    <col min="4" max="4" width="11.7109375" style="993" bestFit="1" customWidth="1"/>
    <col min="5" max="5" width="10.42578125" style="993" customWidth="1"/>
    <col min="6" max="6" width="10.28515625" style="993" customWidth="1"/>
    <col min="7" max="7" width="10.140625" style="993" bestFit="1" customWidth="1"/>
    <col min="8" max="8" width="10" style="993" bestFit="1" customWidth="1"/>
    <col min="9" max="9" width="8.85546875" style="993" bestFit="1" customWidth="1"/>
    <col min="10" max="10" width="14.85546875" style="993" customWidth="1"/>
    <col min="11" max="12" width="14" style="993" customWidth="1"/>
    <col min="13" max="13" width="12.85546875" style="993" customWidth="1"/>
    <col min="14" max="14" width="10.42578125" style="993" bestFit="1" customWidth="1"/>
    <col min="15" max="15" width="10.42578125" style="993" customWidth="1"/>
    <col min="16" max="16384" width="8.85546875" style="993"/>
  </cols>
  <sheetData>
    <row r="1" spans="2:15" ht="30" customHeight="1">
      <c r="L1" s="1294" t="s">
        <v>2273</v>
      </c>
      <c r="M1" s="1294"/>
      <c r="N1" s="1294"/>
      <c r="O1" s="1294"/>
    </row>
    <row r="2" spans="2:15">
      <c r="C2" s="1040" t="str">
        <f>T!E18</f>
        <v>Номгӯи ташкилоти қарзӣ</v>
      </c>
      <c r="D2" s="967"/>
      <c r="E2" s="967"/>
      <c r="F2" s="967"/>
      <c r="G2" s="967"/>
      <c r="H2" s="967"/>
    </row>
    <row r="3" spans="2:15">
      <c r="C3" s="1041" t="str">
        <f>T!B10</f>
        <v>Ҳисобот дар санаи</v>
      </c>
      <c r="D3" s="967"/>
      <c r="E3" s="967"/>
      <c r="F3" s="967"/>
      <c r="G3" s="967"/>
      <c r="H3" s="967"/>
    </row>
    <row r="4" spans="2:15">
      <c r="C4" s="969" t="str">
        <f>'List of Scedules'!B48</f>
        <v>ҶАДВАЛИ 24.02. 50 ҚАРЗҲОИ КАЛОНТАРИНИ ҒАЙРИФАЪОЛИ ШАХСОНИ АЛОҚАМАНД</v>
      </c>
      <c r="D4" s="969"/>
      <c r="E4" s="969"/>
      <c r="F4" s="969"/>
      <c r="G4" s="969"/>
      <c r="H4" s="969"/>
    </row>
    <row r="5" spans="2:15">
      <c r="D5" s="969"/>
      <c r="E5" s="969"/>
      <c r="F5" s="969"/>
      <c r="G5" s="969"/>
      <c r="H5" s="969"/>
      <c r="I5" s="969"/>
    </row>
    <row r="6" spans="2:15">
      <c r="B6" s="1288" t="s">
        <v>888</v>
      </c>
      <c r="C6" s="1290" t="s">
        <v>2153</v>
      </c>
      <c r="D6" s="1291" t="s">
        <v>2291</v>
      </c>
      <c r="E6" s="1292"/>
      <c r="F6" s="1292"/>
      <c r="G6" s="1292"/>
      <c r="H6" s="1292"/>
      <c r="I6" s="1292"/>
      <c r="J6" s="1292"/>
      <c r="K6" s="1292"/>
      <c r="L6" s="1292"/>
      <c r="M6" s="1292"/>
      <c r="N6" s="1292"/>
      <c r="O6" s="1293"/>
    </row>
    <row r="7" spans="2:15" ht="45">
      <c r="B7" s="1289"/>
      <c r="C7" s="1290"/>
      <c r="D7" s="1035" t="s">
        <v>2236</v>
      </c>
      <c r="E7" s="1035" t="s">
        <v>2154</v>
      </c>
      <c r="F7" s="1035" t="s">
        <v>2242</v>
      </c>
      <c r="G7" s="1035" t="s">
        <v>2277</v>
      </c>
      <c r="H7" s="1035" t="s">
        <v>2237</v>
      </c>
      <c r="I7" s="1035" t="s">
        <v>2238</v>
      </c>
      <c r="J7" s="1035" t="s">
        <v>2239</v>
      </c>
      <c r="K7" s="1035" t="s">
        <v>2155</v>
      </c>
      <c r="L7" s="1035" t="s">
        <v>2243</v>
      </c>
      <c r="M7" s="1035" t="s">
        <v>2240</v>
      </c>
      <c r="N7" s="1035" t="s">
        <v>2278</v>
      </c>
      <c r="O7" s="1035" t="s">
        <v>2241</v>
      </c>
    </row>
    <row r="8" spans="2:15">
      <c r="B8" s="1036"/>
      <c r="C8" s="1037" t="s">
        <v>2244</v>
      </c>
      <c r="D8" s="1037" t="s">
        <v>2245</v>
      </c>
      <c r="E8" s="1037" t="s">
        <v>2246</v>
      </c>
      <c r="F8" s="1037" t="s">
        <v>2247</v>
      </c>
      <c r="G8" s="1037" t="s">
        <v>2248</v>
      </c>
      <c r="H8" s="1037" t="s">
        <v>2249</v>
      </c>
      <c r="I8" s="1037" t="s">
        <v>2250</v>
      </c>
      <c r="J8" s="1037" t="s">
        <v>2251</v>
      </c>
      <c r="K8" s="1037" t="s">
        <v>2252</v>
      </c>
      <c r="L8" s="1037" t="s">
        <v>2253</v>
      </c>
      <c r="M8" s="1037" t="s">
        <v>2254</v>
      </c>
      <c r="N8" s="1037" t="s">
        <v>2255</v>
      </c>
      <c r="O8" s="1037" t="s">
        <v>2256</v>
      </c>
    </row>
    <row r="9" spans="2:15">
      <c r="B9" s="1037" t="s">
        <v>1268</v>
      </c>
      <c r="C9" s="1036"/>
      <c r="D9" s="1035"/>
      <c r="E9" s="1035"/>
      <c r="F9" s="1035"/>
      <c r="G9" s="1035"/>
      <c r="H9" s="1035"/>
      <c r="I9" s="1035"/>
      <c r="J9" s="994">
        <f>SUM(J10:J59)</f>
        <v>0</v>
      </c>
      <c r="K9" s="994">
        <f>SUM(K10:K59)</f>
        <v>0</v>
      </c>
      <c r="L9" s="994">
        <f>SUM(L10:L59)</f>
        <v>0</v>
      </c>
      <c r="M9" s="994">
        <f>SUM(M10:M59)</f>
        <v>0</v>
      </c>
      <c r="N9" s="994">
        <f>SUM(N10:N59)</f>
        <v>0</v>
      </c>
      <c r="O9" s="1035"/>
    </row>
    <row r="10" spans="2:15">
      <c r="B10" s="1016">
        <v>1</v>
      </c>
      <c r="C10" s="1017"/>
      <c r="D10" s="989">
        <v>0</v>
      </c>
      <c r="E10" s="1005">
        <v>0</v>
      </c>
      <c r="F10" s="1005">
        <v>1</v>
      </c>
      <c r="G10" s="989">
        <v>0</v>
      </c>
      <c r="H10" s="989">
        <v>0</v>
      </c>
      <c r="I10" s="989">
        <v>0</v>
      </c>
      <c r="J10" s="989">
        <v>0</v>
      </c>
      <c r="K10" s="989">
        <v>0</v>
      </c>
      <c r="L10" s="989">
        <v>0</v>
      </c>
      <c r="M10" s="989">
        <v>0</v>
      </c>
      <c r="N10" s="989">
        <v>0</v>
      </c>
      <c r="O10" s="1005">
        <v>1</v>
      </c>
    </row>
    <row r="11" spans="2:15">
      <c r="B11" s="1018"/>
      <c r="C11" s="1019"/>
      <c r="D11" s="1019"/>
      <c r="E11" s="1020"/>
      <c r="F11" s="1020"/>
      <c r="G11" s="1020"/>
      <c r="H11" s="989"/>
      <c r="I11" s="1020"/>
      <c r="J11" s="1020"/>
      <c r="K11" s="1020"/>
      <c r="L11" s="1020"/>
      <c r="M11" s="1020"/>
      <c r="N11" s="1020"/>
      <c r="O11" s="1020"/>
    </row>
    <row r="12" spans="2:15">
      <c r="B12" s="1018"/>
      <c r="C12" s="1019"/>
      <c r="D12" s="1019"/>
      <c r="E12" s="1020"/>
      <c r="F12" s="1020"/>
      <c r="G12" s="1020"/>
      <c r="H12" s="989"/>
      <c r="I12" s="1020"/>
      <c r="J12" s="1020"/>
      <c r="K12" s="1020"/>
      <c r="L12" s="1020"/>
      <c r="M12" s="1020"/>
      <c r="N12" s="1020"/>
      <c r="O12" s="1020"/>
    </row>
    <row r="13" spans="2:15">
      <c r="B13" s="1018"/>
      <c r="C13" s="1019"/>
      <c r="D13" s="1019"/>
      <c r="E13" s="1020"/>
      <c r="F13" s="1020"/>
      <c r="G13" s="1020"/>
      <c r="H13" s="989"/>
      <c r="I13" s="1020"/>
      <c r="J13" s="1020"/>
      <c r="K13" s="1020"/>
      <c r="L13" s="1020"/>
      <c r="M13" s="1020"/>
      <c r="N13" s="1020"/>
      <c r="O13" s="1020"/>
    </row>
    <row r="14" spans="2:15">
      <c r="B14" s="1018"/>
      <c r="C14" s="1019"/>
      <c r="D14" s="1019"/>
      <c r="E14" s="1020"/>
      <c r="F14" s="1020"/>
      <c r="G14" s="1020"/>
      <c r="H14" s="989"/>
      <c r="I14" s="1020"/>
      <c r="J14" s="1020"/>
      <c r="K14" s="1020"/>
      <c r="L14" s="1020"/>
      <c r="M14" s="1020"/>
      <c r="N14" s="1020"/>
      <c r="O14" s="1020"/>
    </row>
    <row r="15" spans="2:15">
      <c r="B15" s="1018"/>
      <c r="C15" s="1019"/>
      <c r="D15" s="1019"/>
      <c r="E15" s="1020"/>
      <c r="F15" s="1020"/>
      <c r="G15" s="1020"/>
      <c r="H15" s="989"/>
      <c r="I15" s="1020"/>
      <c r="J15" s="1020"/>
      <c r="K15" s="1020"/>
      <c r="L15" s="1020"/>
      <c r="M15" s="1020"/>
      <c r="N15" s="1020"/>
      <c r="O15" s="1020"/>
    </row>
    <row r="16" spans="2:15">
      <c r="B16" s="1018"/>
      <c r="C16" s="1019"/>
      <c r="D16" s="1019"/>
      <c r="E16" s="1020"/>
      <c r="F16" s="1020"/>
      <c r="G16" s="1020"/>
      <c r="H16" s="989"/>
      <c r="I16" s="1020"/>
      <c r="J16" s="1020"/>
      <c r="K16" s="1020"/>
      <c r="L16" s="1020"/>
      <c r="M16" s="1020"/>
      <c r="N16" s="1020"/>
      <c r="O16" s="1020"/>
    </row>
    <row r="17" spans="2:15">
      <c r="B17" s="1018"/>
      <c r="C17" s="1019"/>
      <c r="D17" s="1019"/>
      <c r="E17" s="1020"/>
      <c r="F17" s="1020"/>
      <c r="G17" s="1020"/>
      <c r="H17" s="989"/>
      <c r="I17" s="1020"/>
      <c r="J17" s="1020"/>
      <c r="K17" s="1020"/>
      <c r="L17" s="1020"/>
      <c r="M17" s="1020"/>
      <c r="N17" s="1020"/>
      <c r="O17" s="1020"/>
    </row>
    <row r="18" spans="2:15">
      <c r="B18" s="1018"/>
      <c r="C18" s="1019"/>
      <c r="D18" s="1019"/>
      <c r="E18" s="1020"/>
      <c r="F18" s="1020"/>
      <c r="G18" s="1020"/>
      <c r="H18" s="989"/>
      <c r="I18" s="1020"/>
      <c r="J18" s="1020"/>
      <c r="K18" s="1020"/>
      <c r="L18" s="1020"/>
      <c r="M18" s="1020"/>
      <c r="N18" s="1020"/>
      <c r="O18" s="1020"/>
    </row>
    <row r="19" spans="2:15">
      <c r="B19" s="1018"/>
      <c r="C19" s="1019"/>
      <c r="D19" s="1019"/>
      <c r="E19" s="1020"/>
      <c r="F19" s="1020"/>
      <c r="G19" s="1020"/>
      <c r="H19" s="989"/>
      <c r="I19" s="1020"/>
      <c r="J19" s="1020"/>
      <c r="K19" s="1020"/>
      <c r="L19" s="1020"/>
      <c r="M19" s="1020"/>
      <c r="N19" s="1020"/>
      <c r="O19" s="1020"/>
    </row>
    <row r="20" spans="2:15">
      <c r="B20" s="1018"/>
      <c r="C20" s="1019"/>
      <c r="D20" s="1019"/>
      <c r="E20" s="1020"/>
      <c r="F20" s="1020"/>
      <c r="G20" s="1020"/>
      <c r="H20" s="989"/>
      <c r="I20" s="1020"/>
      <c r="J20" s="1020"/>
      <c r="K20" s="1020"/>
      <c r="L20" s="1020"/>
      <c r="M20" s="1020"/>
      <c r="N20" s="1020"/>
      <c r="O20" s="1020"/>
    </row>
    <row r="21" spans="2:15">
      <c r="B21" s="1018"/>
      <c r="C21" s="1019"/>
      <c r="D21" s="1019"/>
      <c r="E21" s="1020"/>
      <c r="F21" s="1020"/>
      <c r="G21" s="1020"/>
      <c r="H21" s="989"/>
      <c r="I21" s="1020"/>
      <c r="J21" s="1020"/>
      <c r="K21" s="1020"/>
      <c r="L21" s="1020"/>
      <c r="M21" s="1020"/>
      <c r="N21" s="1020"/>
      <c r="O21" s="1020"/>
    </row>
    <row r="22" spans="2:15">
      <c r="B22" s="1018"/>
      <c r="C22" s="1019"/>
      <c r="D22" s="1019"/>
      <c r="E22" s="1020"/>
      <c r="F22" s="1020"/>
      <c r="G22" s="1020"/>
      <c r="H22" s="989"/>
      <c r="I22" s="1020"/>
      <c r="J22" s="1020"/>
      <c r="K22" s="1020"/>
      <c r="L22" s="1020"/>
      <c r="M22" s="1020"/>
      <c r="N22" s="1020"/>
      <c r="O22" s="1020"/>
    </row>
    <row r="23" spans="2:15">
      <c r="B23" s="1018"/>
      <c r="C23" s="1019"/>
      <c r="D23" s="1019"/>
      <c r="E23" s="1020"/>
      <c r="F23" s="1020"/>
      <c r="G23" s="1020"/>
      <c r="H23" s="989"/>
      <c r="I23" s="1020"/>
      <c r="J23" s="1020"/>
      <c r="K23" s="1020"/>
      <c r="L23" s="1020"/>
      <c r="M23" s="1020"/>
      <c r="N23" s="1020"/>
      <c r="O23" s="1020"/>
    </row>
    <row r="24" spans="2:15">
      <c r="B24" s="1018"/>
      <c r="C24" s="1019"/>
      <c r="D24" s="1019"/>
      <c r="E24" s="1020"/>
      <c r="F24" s="1020"/>
      <c r="G24" s="1020"/>
      <c r="H24" s="989"/>
      <c r="I24" s="1020"/>
      <c r="J24" s="1020"/>
      <c r="K24" s="1020"/>
      <c r="L24" s="1020"/>
      <c r="M24" s="1020"/>
      <c r="N24" s="1020"/>
      <c r="O24" s="1020"/>
    </row>
    <row r="25" spans="2:15">
      <c r="B25" s="1018"/>
      <c r="C25" s="1019"/>
      <c r="D25" s="1019"/>
      <c r="E25" s="1020"/>
      <c r="F25" s="1020"/>
      <c r="G25" s="1020"/>
      <c r="H25" s="989"/>
      <c r="I25" s="1020"/>
      <c r="J25" s="1020"/>
      <c r="K25" s="1020"/>
      <c r="L25" s="1020"/>
      <c r="M25" s="1020"/>
      <c r="N25" s="1020"/>
      <c r="O25" s="1020"/>
    </row>
    <row r="26" spans="2:15">
      <c r="B26" s="1018"/>
      <c r="C26" s="1019"/>
      <c r="D26" s="1019"/>
      <c r="E26" s="1020"/>
      <c r="F26" s="1020"/>
      <c r="G26" s="1020"/>
      <c r="H26" s="989"/>
      <c r="I26" s="1020"/>
      <c r="J26" s="1020"/>
      <c r="K26" s="1020"/>
      <c r="L26" s="1020"/>
      <c r="M26" s="1020"/>
      <c r="N26" s="1020"/>
      <c r="O26" s="1020"/>
    </row>
    <row r="27" spans="2:15">
      <c r="B27" s="1018"/>
      <c r="C27" s="1019"/>
      <c r="D27" s="1019"/>
      <c r="E27" s="1020"/>
      <c r="F27" s="1020"/>
      <c r="G27" s="1020"/>
      <c r="H27" s="989"/>
      <c r="I27" s="1020"/>
      <c r="J27" s="1020"/>
      <c r="K27" s="1020"/>
      <c r="L27" s="1020"/>
      <c r="M27" s="1020"/>
      <c r="N27" s="1020"/>
      <c r="O27" s="1020"/>
    </row>
    <row r="28" spans="2:15">
      <c r="B28" s="1018"/>
      <c r="C28" s="1019"/>
      <c r="D28" s="1019"/>
      <c r="E28" s="1020"/>
      <c r="F28" s="1020"/>
      <c r="G28" s="1020"/>
      <c r="H28" s="989"/>
      <c r="I28" s="1020"/>
      <c r="J28" s="1020"/>
      <c r="K28" s="1020"/>
      <c r="L28" s="1020"/>
      <c r="M28" s="1020"/>
      <c r="N28" s="1020"/>
      <c r="O28" s="1020"/>
    </row>
    <row r="29" spans="2:15">
      <c r="B29" s="1018"/>
      <c r="C29" s="1019"/>
      <c r="D29" s="1019"/>
      <c r="E29" s="1020"/>
      <c r="F29" s="1020"/>
      <c r="G29" s="1020"/>
      <c r="H29" s="989"/>
      <c r="I29" s="1020"/>
      <c r="J29" s="1020"/>
      <c r="K29" s="1020"/>
      <c r="L29" s="1020"/>
      <c r="M29" s="1020"/>
      <c r="N29" s="1020"/>
      <c r="O29" s="1020"/>
    </row>
    <row r="30" spans="2:15">
      <c r="B30" s="1018"/>
      <c r="C30" s="1019"/>
      <c r="D30" s="1019"/>
      <c r="E30" s="1020"/>
      <c r="F30" s="1020"/>
      <c r="G30" s="1020"/>
      <c r="H30" s="989"/>
      <c r="I30" s="1020"/>
      <c r="J30" s="1020"/>
      <c r="K30" s="1020"/>
      <c r="L30" s="1020"/>
      <c r="M30" s="1020"/>
      <c r="N30" s="1020"/>
      <c r="O30" s="1020"/>
    </row>
    <row r="31" spans="2:15">
      <c r="B31" s="1018"/>
      <c r="C31" s="1019"/>
      <c r="D31" s="1019"/>
      <c r="E31" s="1020"/>
      <c r="F31" s="1020"/>
      <c r="G31" s="1020"/>
      <c r="H31" s="989"/>
      <c r="I31" s="1020"/>
      <c r="J31" s="1020"/>
      <c r="K31" s="1020"/>
      <c r="L31" s="1020"/>
      <c r="M31" s="1020"/>
      <c r="N31" s="1020"/>
      <c r="O31" s="1020"/>
    </row>
    <row r="32" spans="2:15">
      <c r="B32" s="1018"/>
      <c r="C32" s="1019"/>
      <c r="D32" s="1019"/>
      <c r="E32" s="1020"/>
      <c r="F32" s="1020"/>
      <c r="G32" s="1020"/>
      <c r="H32" s="989"/>
      <c r="I32" s="1020"/>
      <c r="J32" s="1020"/>
      <c r="K32" s="1020"/>
      <c r="L32" s="1020"/>
      <c r="M32" s="1020"/>
      <c r="N32" s="1020"/>
      <c r="O32" s="1020"/>
    </row>
    <row r="33" spans="2:15">
      <c r="B33" s="1018"/>
      <c r="C33" s="1019"/>
      <c r="D33" s="1019"/>
      <c r="E33" s="1020"/>
      <c r="F33" s="1020"/>
      <c r="G33" s="1020"/>
      <c r="H33" s="989"/>
      <c r="I33" s="1020"/>
      <c r="J33" s="1020"/>
      <c r="K33" s="1020"/>
      <c r="L33" s="1020"/>
      <c r="M33" s="1020"/>
      <c r="N33" s="1020"/>
      <c r="O33" s="1020"/>
    </row>
    <row r="34" spans="2:15">
      <c r="B34" s="1018"/>
      <c r="C34" s="1019"/>
      <c r="D34" s="1019"/>
      <c r="E34" s="1020"/>
      <c r="F34" s="1020"/>
      <c r="G34" s="1020"/>
      <c r="H34" s="989"/>
      <c r="I34" s="1020"/>
      <c r="J34" s="1020"/>
      <c r="K34" s="1020"/>
      <c r="L34" s="1020"/>
      <c r="M34" s="1020"/>
      <c r="N34" s="1020"/>
      <c r="O34" s="1020"/>
    </row>
    <row r="35" spans="2:15">
      <c r="B35" s="1018"/>
      <c r="C35" s="1019"/>
      <c r="D35" s="1019"/>
      <c r="E35" s="1020"/>
      <c r="F35" s="1020"/>
      <c r="G35" s="1020"/>
      <c r="H35" s="989"/>
      <c r="I35" s="1020"/>
      <c r="J35" s="1020"/>
      <c r="K35" s="1020"/>
      <c r="L35" s="1020"/>
      <c r="M35" s="1020"/>
      <c r="N35" s="1020"/>
      <c r="O35" s="1020"/>
    </row>
    <row r="36" spans="2:15">
      <c r="B36" s="1018"/>
      <c r="C36" s="1019"/>
      <c r="D36" s="1019"/>
      <c r="E36" s="1020"/>
      <c r="F36" s="1020"/>
      <c r="G36" s="1020"/>
      <c r="H36" s="989"/>
      <c r="I36" s="1020"/>
      <c r="J36" s="1020"/>
      <c r="K36" s="1020"/>
      <c r="L36" s="1020"/>
      <c r="M36" s="1020"/>
      <c r="N36" s="1020"/>
      <c r="O36" s="1020"/>
    </row>
    <row r="37" spans="2:15">
      <c r="B37" s="1018"/>
      <c r="C37" s="1019"/>
      <c r="D37" s="1019"/>
      <c r="E37" s="1020"/>
      <c r="F37" s="1020"/>
      <c r="G37" s="1020"/>
      <c r="H37" s="989"/>
      <c r="I37" s="1020"/>
      <c r="J37" s="1020"/>
      <c r="K37" s="1020"/>
      <c r="L37" s="1020"/>
      <c r="M37" s="1020"/>
      <c r="N37" s="1020"/>
      <c r="O37" s="1020"/>
    </row>
    <row r="38" spans="2:15">
      <c r="B38" s="1018"/>
      <c r="C38" s="1019"/>
      <c r="D38" s="1019"/>
      <c r="E38" s="1020"/>
      <c r="F38" s="1020"/>
      <c r="G38" s="1020"/>
      <c r="H38" s="989"/>
      <c r="I38" s="1020"/>
      <c r="J38" s="1020"/>
      <c r="K38" s="1020"/>
      <c r="L38" s="1020"/>
      <c r="M38" s="1020"/>
      <c r="N38" s="1020"/>
      <c r="O38" s="1020"/>
    </row>
    <row r="39" spans="2:15">
      <c r="B39" s="1018"/>
      <c r="C39" s="1019"/>
      <c r="D39" s="1019"/>
      <c r="E39" s="1020"/>
      <c r="F39" s="1020"/>
      <c r="G39" s="1020"/>
      <c r="H39" s="989"/>
      <c r="I39" s="1020"/>
      <c r="J39" s="1020"/>
      <c r="K39" s="1020"/>
      <c r="L39" s="1020"/>
      <c r="M39" s="1020"/>
      <c r="N39" s="1020"/>
      <c r="O39" s="1020"/>
    </row>
    <row r="40" spans="2:15">
      <c r="B40" s="1018"/>
      <c r="C40" s="1019"/>
      <c r="D40" s="1019"/>
      <c r="E40" s="1020"/>
      <c r="F40" s="1020"/>
      <c r="G40" s="1020"/>
      <c r="H40" s="989"/>
      <c r="I40" s="1020"/>
      <c r="J40" s="1020"/>
      <c r="K40" s="1020"/>
      <c r="L40" s="1020"/>
      <c r="M40" s="1020"/>
      <c r="N40" s="1020"/>
      <c r="O40" s="1020"/>
    </row>
    <row r="41" spans="2:15">
      <c r="B41" s="1018"/>
      <c r="C41" s="1019"/>
      <c r="D41" s="1019"/>
      <c r="E41" s="1020"/>
      <c r="F41" s="1020"/>
      <c r="G41" s="1020"/>
      <c r="H41" s="989"/>
      <c r="I41" s="1020"/>
      <c r="J41" s="1020"/>
      <c r="K41" s="1020"/>
      <c r="L41" s="1020"/>
      <c r="M41" s="1020"/>
      <c r="N41" s="1020"/>
      <c r="O41" s="1020"/>
    </row>
    <row r="42" spans="2:15">
      <c r="B42" s="1018"/>
      <c r="C42" s="1019"/>
      <c r="D42" s="1019"/>
      <c r="E42" s="1020"/>
      <c r="F42" s="1020"/>
      <c r="G42" s="1020"/>
      <c r="H42" s="989"/>
      <c r="I42" s="1020"/>
      <c r="J42" s="1020"/>
      <c r="K42" s="1020"/>
      <c r="L42" s="1020"/>
      <c r="M42" s="1020"/>
      <c r="N42" s="1020"/>
      <c r="O42" s="1020"/>
    </row>
    <row r="43" spans="2:15">
      <c r="B43" s="1018"/>
      <c r="C43" s="1019"/>
      <c r="D43" s="1019"/>
      <c r="E43" s="1020"/>
      <c r="F43" s="1020"/>
      <c r="G43" s="1020"/>
      <c r="H43" s="989"/>
      <c r="I43" s="1020"/>
      <c r="J43" s="1020"/>
      <c r="K43" s="1020"/>
      <c r="L43" s="1020"/>
      <c r="M43" s="1020"/>
      <c r="N43" s="1020"/>
      <c r="O43" s="1020"/>
    </row>
    <row r="44" spans="2:15">
      <c r="B44" s="1018"/>
      <c r="C44" s="1019"/>
      <c r="D44" s="1019"/>
      <c r="E44" s="1020"/>
      <c r="F44" s="1020"/>
      <c r="G44" s="1020"/>
      <c r="H44" s="989"/>
      <c r="I44" s="1020"/>
      <c r="J44" s="1020"/>
      <c r="K44" s="1020"/>
      <c r="L44" s="1020"/>
      <c r="M44" s="1020"/>
      <c r="N44" s="1020"/>
      <c r="O44" s="1020"/>
    </row>
    <row r="45" spans="2:15">
      <c r="B45" s="1018"/>
      <c r="C45" s="1019"/>
      <c r="D45" s="1019"/>
      <c r="E45" s="1020"/>
      <c r="F45" s="1020"/>
      <c r="G45" s="1020"/>
      <c r="H45" s="989"/>
      <c r="I45" s="1020"/>
      <c r="J45" s="1020"/>
      <c r="K45" s="1020"/>
      <c r="L45" s="1020"/>
      <c r="M45" s="1020"/>
      <c r="N45" s="1020"/>
      <c r="O45" s="1020"/>
    </row>
    <row r="46" spans="2:15">
      <c r="B46" s="1018"/>
      <c r="C46" s="1019"/>
      <c r="D46" s="1019"/>
      <c r="E46" s="1020"/>
      <c r="F46" s="1020"/>
      <c r="G46" s="1020"/>
      <c r="H46" s="989"/>
      <c r="I46" s="1020"/>
      <c r="J46" s="1020"/>
      <c r="K46" s="1020"/>
      <c r="L46" s="1020"/>
      <c r="M46" s="1020"/>
      <c r="N46" s="1020"/>
      <c r="O46" s="1020"/>
    </row>
    <row r="47" spans="2:15">
      <c r="B47" s="1018"/>
      <c r="C47" s="1019"/>
      <c r="D47" s="1019"/>
      <c r="E47" s="1020"/>
      <c r="F47" s="1020"/>
      <c r="G47" s="1020"/>
      <c r="H47" s="989"/>
      <c r="I47" s="1020"/>
      <c r="J47" s="1020"/>
      <c r="K47" s="1020"/>
      <c r="L47" s="1020"/>
      <c r="M47" s="1020"/>
      <c r="N47" s="1020"/>
      <c r="O47" s="1020"/>
    </row>
    <row r="48" spans="2:15">
      <c r="B48" s="1018"/>
      <c r="C48" s="1019"/>
      <c r="D48" s="1019"/>
      <c r="E48" s="1020"/>
      <c r="F48" s="1020"/>
      <c r="G48" s="1020"/>
      <c r="H48" s="989"/>
      <c r="I48" s="1020"/>
      <c r="J48" s="1020"/>
      <c r="K48" s="1020"/>
      <c r="L48" s="1020"/>
      <c r="M48" s="1020"/>
      <c r="N48" s="1020"/>
      <c r="O48" s="1020"/>
    </row>
    <row r="49" spans="2:15">
      <c r="B49" s="1018"/>
      <c r="C49" s="1019"/>
      <c r="D49" s="1019"/>
      <c r="E49" s="1020"/>
      <c r="F49" s="1020"/>
      <c r="G49" s="1020"/>
      <c r="H49" s="989"/>
      <c r="I49" s="1020"/>
      <c r="J49" s="1020"/>
      <c r="K49" s="1020"/>
      <c r="L49" s="1020"/>
      <c r="M49" s="1020"/>
      <c r="N49" s="1020"/>
      <c r="O49" s="1020"/>
    </row>
    <row r="50" spans="2:15">
      <c r="B50" s="1018"/>
      <c r="C50" s="1019"/>
      <c r="D50" s="1019"/>
      <c r="E50" s="1020"/>
      <c r="F50" s="1020"/>
      <c r="G50" s="1020"/>
      <c r="H50" s="989"/>
      <c r="I50" s="1020"/>
      <c r="J50" s="1020"/>
      <c r="K50" s="1020"/>
      <c r="L50" s="1020"/>
      <c r="M50" s="1020"/>
      <c r="N50" s="1020"/>
      <c r="O50" s="1020"/>
    </row>
    <row r="51" spans="2:15">
      <c r="B51" s="1018"/>
      <c r="C51" s="1019"/>
      <c r="D51" s="1019"/>
      <c r="E51" s="1020"/>
      <c r="F51" s="1020"/>
      <c r="G51" s="1020"/>
      <c r="H51" s="989"/>
      <c r="I51" s="1020"/>
      <c r="J51" s="1020"/>
      <c r="K51" s="1020"/>
      <c r="L51" s="1020"/>
      <c r="M51" s="1020"/>
      <c r="N51" s="1020"/>
      <c r="O51" s="1020"/>
    </row>
    <row r="52" spans="2:15">
      <c r="B52" s="1018"/>
      <c r="C52" s="1019"/>
      <c r="D52" s="1019"/>
      <c r="E52" s="1020"/>
      <c r="F52" s="1020"/>
      <c r="G52" s="1020"/>
      <c r="H52" s="989"/>
      <c r="I52" s="1020"/>
      <c r="J52" s="1020"/>
      <c r="K52" s="1020"/>
      <c r="L52" s="1020"/>
      <c r="M52" s="1020"/>
      <c r="N52" s="1020"/>
      <c r="O52" s="1020"/>
    </row>
    <row r="53" spans="2:15">
      <c r="B53" s="1018"/>
      <c r="C53" s="1019"/>
      <c r="D53" s="1019"/>
      <c r="E53" s="1020"/>
      <c r="F53" s="1020"/>
      <c r="G53" s="1020"/>
      <c r="H53" s="989"/>
      <c r="I53" s="1020"/>
      <c r="J53" s="1020"/>
      <c r="K53" s="1020"/>
      <c r="L53" s="1020"/>
      <c r="M53" s="1020"/>
      <c r="N53" s="1020"/>
      <c r="O53" s="1020"/>
    </row>
    <row r="54" spans="2:15">
      <c r="B54" s="1018"/>
      <c r="C54" s="1019"/>
      <c r="D54" s="1019"/>
      <c r="E54" s="1020"/>
      <c r="F54" s="1020"/>
      <c r="G54" s="1020"/>
      <c r="H54" s="989"/>
      <c r="I54" s="1020"/>
      <c r="J54" s="1020"/>
      <c r="K54" s="1020"/>
      <c r="L54" s="1020"/>
      <c r="M54" s="1020"/>
      <c r="N54" s="1020"/>
      <c r="O54" s="1020"/>
    </row>
    <row r="55" spans="2:15">
      <c r="B55" s="1018"/>
      <c r="C55" s="1019"/>
      <c r="D55" s="1019"/>
      <c r="E55" s="1020"/>
      <c r="F55" s="1020"/>
      <c r="G55" s="1020"/>
      <c r="H55" s="989"/>
      <c r="I55" s="1020"/>
      <c r="J55" s="1020"/>
      <c r="K55" s="1020"/>
      <c r="L55" s="1020"/>
      <c r="M55" s="1020"/>
      <c r="N55" s="1020"/>
      <c r="O55" s="1020"/>
    </row>
    <row r="56" spans="2:15">
      <c r="B56" s="1018"/>
      <c r="C56" s="1019"/>
      <c r="D56" s="1019"/>
      <c r="E56" s="1020"/>
      <c r="F56" s="1020"/>
      <c r="G56" s="1020"/>
      <c r="H56" s="989"/>
      <c r="I56" s="1020"/>
      <c r="J56" s="1020"/>
      <c r="K56" s="1020"/>
      <c r="L56" s="1020"/>
      <c r="M56" s="1020"/>
      <c r="N56" s="1020"/>
      <c r="O56" s="1020"/>
    </row>
    <row r="57" spans="2:15">
      <c r="B57" s="1018"/>
      <c r="C57" s="1019"/>
      <c r="D57" s="1019"/>
      <c r="E57" s="1020"/>
      <c r="F57" s="1020"/>
      <c r="G57" s="1020"/>
      <c r="H57" s="989"/>
      <c r="I57" s="1020"/>
      <c r="J57" s="1020"/>
      <c r="K57" s="1020"/>
      <c r="L57" s="1020"/>
      <c r="M57" s="1020"/>
      <c r="N57" s="1020"/>
      <c r="O57" s="1020"/>
    </row>
    <row r="58" spans="2:15">
      <c r="B58" s="1018"/>
      <c r="C58" s="1019"/>
      <c r="D58" s="1019"/>
      <c r="E58" s="1020"/>
      <c r="F58" s="1020"/>
      <c r="G58" s="1020"/>
      <c r="H58" s="989"/>
      <c r="I58" s="1020"/>
      <c r="J58" s="1020"/>
      <c r="K58" s="1020"/>
      <c r="L58" s="1020"/>
      <c r="M58" s="1020"/>
      <c r="N58" s="1020"/>
      <c r="O58" s="1020"/>
    </row>
    <row r="59" spans="2:15">
      <c r="B59" s="1018"/>
      <c r="C59" s="1019"/>
      <c r="D59" s="1019"/>
      <c r="E59" s="1020"/>
      <c r="F59" s="1020"/>
      <c r="G59" s="1020"/>
      <c r="H59" s="989"/>
      <c r="I59" s="1020"/>
      <c r="J59" s="1020"/>
      <c r="K59" s="1020"/>
      <c r="L59" s="1020"/>
      <c r="M59" s="1020"/>
      <c r="N59" s="1020"/>
      <c r="O59" s="1020"/>
    </row>
    <row r="60" spans="2:15">
      <c r="B60" s="1038"/>
      <c r="C60" s="1039"/>
      <c r="D60" s="1038"/>
      <c r="E60" s="1038"/>
      <c r="F60" s="1038"/>
      <c r="G60" s="1038"/>
      <c r="H60" s="1038"/>
      <c r="I60" s="1038"/>
      <c r="J60" s="1038"/>
      <c r="K60" s="1038"/>
      <c r="L60" s="1038"/>
      <c r="M60" s="1038"/>
      <c r="N60" s="1038"/>
      <c r="O60" s="1038"/>
    </row>
    <row r="61" spans="2:15">
      <c r="C61" s="1286" t="s">
        <v>2156</v>
      </c>
      <c r="D61" s="1287"/>
      <c r="E61" s="1287"/>
      <c r="F61" s="1287"/>
      <c r="G61" s="1287"/>
      <c r="H61" s="1287"/>
      <c r="I61" s="1287"/>
      <c r="J61" s="1287"/>
      <c r="K61" s="1287"/>
      <c r="L61" s="1287"/>
      <c r="M61" s="1287"/>
      <c r="N61" s="1287"/>
      <c r="O61" s="1287"/>
    </row>
  </sheetData>
  <sheetProtection password="E9D4" sheet="1" objects="1" scenarios="1"/>
  <mergeCells count="5">
    <mergeCell ref="C61:O61"/>
    <mergeCell ref="B6:B7"/>
    <mergeCell ref="C6:C7"/>
    <mergeCell ref="D6:O6"/>
    <mergeCell ref="L1:O1"/>
  </mergeCells>
  <pageMargins left="0.19" right="0.14000000000000001" top="0.19685039370078741" bottom="0.19685039370078741" header="0.11811023622047245" footer="0.11811023622047245"/>
  <pageSetup paperSize="9" scale="85" orientation="landscape" r:id="rId1"/>
</worksheet>
</file>

<file path=xl/worksheets/sheet5.xml><?xml version="1.0" encoding="utf-8"?>
<worksheet xmlns="http://schemas.openxmlformats.org/spreadsheetml/2006/main" xmlns:r="http://schemas.openxmlformats.org/officeDocument/2006/relationships">
  <sheetPr codeName="Лист4"/>
  <dimension ref="A1:I58"/>
  <sheetViews>
    <sheetView workbookViewId="0"/>
  </sheetViews>
  <sheetFormatPr defaultColWidth="9.28515625" defaultRowHeight="15"/>
  <cols>
    <col min="1" max="1" width="1.5703125" style="47" customWidth="1"/>
    <col min="2" max="2" width="21.42578125" style="47" customWidth="1"/>
    <col min="3" max="8" width="15.7109375" style="47" customWidth="1"/>
    <col min="9" max="9" width="6.7109375" style="47" customWidth="1"/>
    <col min="10" max="16384" width="9.28515625" style="47"/>
  </cols>
  <sheetData>
    <row r="1" spans="1:9" ht="32.25" customHeight="1">
      <c r="F1" s="1175" t="s">
        <v>1849</v>
      </c>
      <c r="G1" s="1168"/>
      <c r="H1" s="1168"/>
      <c r="I1" s="1168"/>
    </row>
    <row r="2" spans="1:9" ht="18">
      <c r="B2" s="39"/>
      <c r="D2" s="26"/>
      <c r="E2" s="26"/>
      <c r="F2" s="26"/>
      <c r="G2" s="36"/>
      <c r="H2" s="26"/>
      <c r="I2" s="49"/>
    </row>
    <row r="3" spans="1:9" ht="18">
      <c r="A3" s="1169" t="s">
        <v>1882</v>
      </c>
      <c r="B3" s="1170"/>
      <c r="C3" s="1170"/>
      <c r="D3" s="1170"/>
      <c r="E3" s="1170"/>
      <c r="F3" s="1170"/>
      <c r="G3" s="1170"/>
      <c r="H3" s="1170"/>
      <c r="I3" s="1170"/>
    </row>
    <row r="4" spans="1:9" ht="18">
      <c r="B4" s="39"/>
      <c r="D4" s="26"/>
      <c r="E4" s="26"/>
      <c r="F4" s="26"/>
      <c r="G4" s="36"/>
      <c r="H4" s="26"/>
      <c r="I4" s="49"/>
    </row>
    <row r="5" spans="1:9" ht="18">
      <c r="B5" s="39"/>
      <c r="C5" s="25" t="str">
        <f>T!B10</f>
        <v>Ҳисобот дар санаи</v>
      </c>
      <c r="D5" s="26"/>
      <c r="E5" s="26"/>
      <c r="F5" s="26"/>
      <c r="G5" s="36"/>
      <c r="H5" s="36"/>
      <c r="I5" s="37"/>
    </row>
    <row r="7" spans="1:9" ht="18">
      <c r="B7" s="26"/>
      <c r="C7" s="26"/>
      <c r="D7" s="26"/>
      <c r="E7" s="26"/>
      <c r="F7" s="26"/>
      <c r="G7" s="26"/>
      <c r="H7" s="26"/>
      <c r="I7" s="26"/>
    </row>
    <row r="8" spans="1:9" ht="18">
      <c r="B8" s="1178" t="s">
        <v>967</v>
      </c>
      <c r="C8" s="1179"/>
      <c r="D8" s="1179"/>
      <c r="E8" s="26"/>
      <c r="F8" s="26"/>
      <c r="G8" s="26"/>
      <c r="H8" s="26"/>
      <c r="I8" s="26"/>
    </row>
    <row r="9" spans="1:9" ht="18">
      <c r="B9" s="1179"/>
      <c r="C9" s="1179"/>
      <c r="D9" s="1179"/>
      <c r="E9" s="786"/>
      <c r="F9" s="783"/>
      <c r="G9" s="783"/>
      <c r="H9" s="783"/>
      <c r="I9" s="26"/>
    </row>
    <row r="10" spans="1:9" ht="18">
      <c r="B10" s="26"/>
      <c r="C10" s="26"/>
      <c r="D10" s="26"/>
      <c r="E10" s="26"/>
      <c r="F10" s="26"/>
      <c r="G10" s="26"/>
      <c r="H10" s="26"/>
      <c r="I10" s="26"/>
    </row>
    <row r="11" spans="1:9" ht="18">
      <c r="B11" s="1178" t="s">
        <v>968</v>
      </c>
      <c r="C11" s="1178"/>
      <c r="D11" s="1178"/>
      <c r="E11" s="26"/>
      <c r="F11" s="26"/>
      <c r="G11" s="26"/>
      <c r="H11" s="26"/>
      <c r="I11" s="26"/>
    </row>
    <row r="12" spans="1:9" ht="18">
      <c r="B12" s="1178"/>
      <c r="C12" s="1178"/>
      <c r="D12" s="1178"/>
      <c r="E12" s="770"/>
      <c r="F12" s="770"/>
      <c r="G12" s="770"/>
      <c r="H12" s="770"/>
      <c r="I12" s="26"/>
    </row>
    <row r="13" spans="1:9" ht="18">
      <c r="B13" s="26"/>
      <c r="C13" s="26"/>
      <c r="D13" s="26"/>
      <c r="E13" s="26"/>
      <c r="F13" s="26"/>
      <c r="G13" s="26"/>
      <c r="H13" s="26"/>
      <c r="I13" s="26"/>
    </row>
    <row r="14" spans="1:9" ht="18">
      <c r="B14" s="25" t="s">
        <v>969</v>
      </c>
      <c r="C14" s="26"/>
      <c r="D14" s="26"/>
      <c r="E14" s="770"/>
      <c r="F14" s="770"/>
      <c r="G14" s="770"/>
      <c r="H14" s="770"/>
      <c r="I14" s="26"/>
    </row>
    <row r="15" spans="1:9" ht="18">
      <c r="B15" s="26" t="s">
        <v>970</v>
      </c>
      <c r="C15" s="26"/>
      <c r="D15" s="26"/>
      <c r="E15" s="26"/>
      <c r="F15" s="26"/>
      <c r="G15" s="26"/>
      <c r="H15" s="26"/>
      <c r="I15" s="26"/>
    </row>
    <row r="16" spans="1:9" ht="18">
      <c r="B16" s="26"/>
      <c r="C16" s="26"/>
      <c r="D16" s="26"/>
      <c r="E16" s="770"/>
      <c r="F16" s="770"/>
      <c r="G16" s="770"/>
      <c r="H16" s="770"/>
      <c r="I16" s="26"/>
    </row>
    <row r="17" spans="2:9" ht="18">
      <c r="B17" s="26" t="s">
        <v>971</v>
      </c>
      <c r="C17" s="26"/>
      <c r="D17" s="26"/>
      <c r="E17" s="26"/>
      <c r="F17" s="26"/>
      <c r="G17" s="26"/>
      <c r="H17" s="26"/>
      <c r="I17" s="26"/>
    </row>
    <row r="18" spans="2:9" ht="18">
      <c r="B18" s="26"/>
      <c r="C18" s="26"/>
      <c r="D18" s="26"/>
      <c r="E18" s="783"/>
      <c r="F18" s="783"/>
      <c r="G18" s="28"/>
      <c r="H18" s="28"/>
      <c r="I18" s="26"/>
    </row>
    <row r="19" spans="2:9" ht="18">
      <c r="B19" s="26" t="s">
        <v>1166</v>
      </c>
      <c r="C19" s="26"/>
      <c r="D19" s="26"/>
      <c r="E19" s="26"/>
      <c r="F19" s="26"/>
      <c r="G19" s="26"/>
      <c r="H19" s="26"/>
      <c r="I19" s="26"/>
    </row>
    <row r="20" spans="2:9" ht="18">
      <c r="B20" s="26"/>
      <c r="C20" s="26"/>
      <c r="D20" s="26"/>
      <c r="E20" s="26"/>
      <c r="F20" s="26"/>
      <c r="G20" s="26"/>
      <c r="H20" s="26"/>
      <c r="I20" s="26"/>
    </row>
    <row r="21" spans="2:9" ht="18">
      <c r="B21" s="26" t="s">
        <v>599</v>
      </c>
      <c r="C21" s="26"/>
      <c r="D21" s="26"/>
      <c r="E21" s="770"/>
      <c r="F21" s="770"/>
      <c r="G21" s="770"/>
      <c r="H21" s="770"/>
      <c r="I21" s="26"/>
    </row>
    <row r="22" spans="2:9" ht="18">
      <c r="B22" s="26"/>
      <c r="C22" s="26"/>
      <c r="D22" s="26"/>
      <c r="E22" s="26"/>
      <c r="F22" s="26"/>
      <c r="G22" s="26"/>
      <c r="H22" s="26"/>
      <c r="I22" s="26"/>
    </row>
    <row r="23" spans="2:9" ht="18">
      <c r="B23" s="25" t="s">
        <v>972</v>
      </c>
      <c r="C23" s="26"/>
      <c r="D23" s="26"/>
      <c r="E23" s="770"/>
      <c r="F23" s="770"/>
      <c r="G23" s="770"/>
      <c r="H23" s="770"/>
      <c r="I23" s="26"/>
    </row>
    <row r="24" spans="2:9" ht="18">
      <c r="B24" s="26" t="s">
        <v>1167</v>
      </c>
      <c r="C24" s="26"/>
      <c r="D24" s="26"/>
      <c r="E24" s="26"/>
      <c r="F24" s="26"/>
      <c r="G24" s="26"/>
      <c r="H24" s="26"/>
      <c r="I24" s="26"/>
    </row>
    <row r="25" spans="2:9" ht="18">
      <c r="B25" s="26"/>
      <c r="C25" s="26"/>
      <c r="D25" s="26"/>
      <c r="E25" s="770"/>
      <c r="F25" s="770"/>
      <c r="G25" s="770"/>
      <c r="H25" s="770"/>
      <c r="I25" s="26"/>
    </row>
    <row r="26" spans="2:9" ht="18">
      <c r="B26" s="26" t="s">
        <v>1168</v>
      </c>
      <c r="C26" s="26"/>
      <c r="D26" s="26"/>
      <c r="E26" s="26"/>
      <c r="F26" s="26"/>
      <c r="G26" s="26"/>
      <c r="H26" s="26"/>
      <c r="I26" s="26"/>
    </row>
    <row r="27" spans="2:9" ht="18">
      <c r="B27" s="26"/>
      <c r="C27" s="26"/>
      <c r="D27" s="26"/>
      <c r="E27" s="770"/>
      <c r="F27" s="770"/>
      <c r="G27" s="770"/>
      <c r="H27" s="770"/>
      <c r="I27" s="26"/>
    </row>
    <row r="28" spans="2:9" ht="18">
      <c r="B28" s="26" t="s">
        <v>1169</v>
      </c>
      <c r="C28" s="26"/>
      <c r="D28" s="26"/>
      <c r="E28" s="26"/>
      <c r="F28" s="26"/>
      <c r="G28" s="26"/>
      <c r="H28" s="26"/>
      <c r="I28" s="26"/>
    </row>
    <row r="29" spans="2:9" ht="18">
      <c r="B29" s="26"/>
      <c r="C29" s="26"/>
      <c r="D29" s="26"/>
      <c r="E29" s="26"/>
      <c r="F29" s="26"/>
      <c r="G29" s="26"/>
      <c r="H29" s="26"/>
      <c r="I29" s="26"/>
    </row>
    <row r="30" spans="2:9" ht="18">
      <c r="B30" s="26" t="s">
        <v>1170</v>
      </c>
      <c r="C30" s="26"/>
      <c r="D30" s="29"/>
      <c r="E30" s="770"/>
      <c r="F30" s="770"/>
      <c r="G30" s="770"/>
      <c r="H30" s="770"/>
      <c r="I30" s="26"/>
    </row>
    <row r="31" spans="2:9" ht="18">
      <c r="B31" s="26"/>
      <c r="C31" s="26"/>
      <c r="D31" s="29"/>
      <c r="E31" s="26"/>
      <c r="F31" s="26"/>
      <c r="G31" s="26"/>
      <c r="H31" s="26"/>
      <c r="I31" s="26"/>
    </row>
    <row r="32" spans="2:9" ht="18">
      <c r="B32" s="1178" t="s">
        <v>973</v>
      </c>
      <c r="C32" s="1178"/>
      <c r="D32" s="1178"/>
      <c r="E32" s="26"/>
      <c r="F32" s="26"/>
      <c r="G32" s="26"/>
      <c r="H32" s="26"/>
      <c r="I32" s="26"/>
    </row>
    <row r="33" spans="2:9" ht="18">
      <c r="B33" s="1178"/>
      <c r="C33" s="1178"/>
      <c r="D33" s="1178"/>
      <c r="E33" s="1177"/>
      <c r="F33" s="1177"/>
      <c r="G33" s="1177"/>
      <c r="H33" s="1177"/>
      <c r="I33" s="26"/>
    </row>
    <row r="34" spans="2:9" ht="18">
      <c r="B34" s="26"/>
      <c r="C34" s="26"/>
      <c r="D34" s="26"/>
      <c r="E34" s="26"/>
      <c r="F34" s="26"/>
      <c r="G34" s="26"/>
      <c r="H34" s="26"/>
      <c r="I34" s="26"/>
    </row>
    <row r="35" spans="2:9" ht="18">
      <c r="B35" s="25" t="s">
        <v>974</v>
      </c>
      <c r="C35" s="26"/>
      <c r="D35" s="26"/>
      <c r="E35" s="26"/>
      <c r="F35" s="26"/>
      <c r="G35" s="26"/>
      <c r="H35" s="26"/>
      <c r="I35" s="26"/>
    </row>
    <row r="36" spans="2:9" ht="24.75" customHeight="1">
      <c r="B36" s="26" t="s">
        <v>1171</v>
      </c>
      <c r="C36" s="26"/>
      <c r="D36" s="26"/>
      <c r="E36" s="1177"/>
      <c r="F36" s="1177"/>
      <c r="G36" s="1177"/>
      <c r="H36" s="1177"/>
      <c r="I36" s="26"/>
    </row>
    <row r="37" spans="2:9" ht="18">
      <c r="B37" s="26"/>
      <c r="C37" s="26"/>
      <c r="D37" s="26"/>
      <c r="E37" s="780"/>
      <c r="F37" s="780"/>
      <c r="G37" s="780"/>
      <c r="H37" s="780"/>
      <c r="I37" s="26"/>
    </row>
    <row r="38" spans="2:9" ht="18">
      <c r="B38" s="26" t="s">
        <v>1172</v>
      </c>
      <c r="C38" s="26"/>
      <c r="D38" s="26"/>
      <c r="E38" s="1177"/>
      <c r="F38" s="1177"/>
      <c r="G38" s="1177"/>
      <c r="H38" s="1177"/>
      <c r="I38" s="26"/>
    </row>
    <row r="39" spans="2:9" ht="18">
      <c r="B39" s="26"/>
      <c r="C39" s="26"/>
      <c r="D39" s="26"/>
      <c r="E39" s="26"/>
      <c r="F39" s="26"/>
      <c r="G39" s="26"/>
      <c r="H39" s="26"/>
      <c r="I39" s="26"/>
    </row>
    <row r="40" spans="2:9" ht="18">
      <c r="B40" s="25" t="s">
        <v>1031</v>
      </c>
      <c r="C40" s="26"/>
      <c r="D40" s="26"/>
      <c r="E40" s="26"/>
      <c r="F40" s="26"/>
      <c r="G40" s="26"/>
      <c r="H40" s="26"/>
      <c r="I40" s="26"/>
    </row>
    <row r="41" spans="2:9" ht="18">
      <c r="B41" s="26"/>
      <c r="C41" s="26"/>
      <c r="D41" s="26"/>
      <c r="E41" s="26"/>
      <c r="F41" s="26"/>
      <c r="G41" s="26"/>
      <c r="H41" s="26"/>
      <c r="I41" s="26"/>
    </row>
    <row r="42" spans="2:9" ht="18">
      <c r="B42" s="26"/>
      <c r="C42" s="26"/>
      <c r="D42" s="26"/>
      <c r="E42" s="26"/>
      <c r="F42" s="26"/>
      <c r="G42" s="26"/>
      <c r="H42" s="26"/>
      <c r="I42" s="26"/>
    </row>
    <row r="43" spans="2:9" ht="18">
      <c r="B43" s="25" t="s">
        <v>975</v>
      </c>
      <c r="C43" s="26"/>
      <c r="D43" s="26"/>
      <c r="E43" s="26"/>
      <c r="F43" s="26"/>
      <c r="G43" s="26"/>
      <c r="H43" s="26"/>
      <c r="I43" s="26"/>
    </row>
    <row r="44" spans="2:9" ht="18">
      <c r="B44" s="54" t="s">
        <v>976</v>
      </c>
      <c r="C44" s="55"/>
      <c r="D44" s="792"/>
      <c r="E44" s="920"/>
      <c r="F44" s="55"/>
      <c r="G44" s="55"/>
      <c r="H44" s="55"/>
      <c r="I44" s="26"/>
    </row>
    <row r="45" spans="2:9" ht="18">
      <c r="B45" s="54" t="s">
        <v>977</v>
      </c>
      <c r="C45" s="55"/>
      <c r="D45" s="799"/>
      <c r="E45" s="921"/>
      <c r="F45" s="55"/>
      <c r="G45" s="55"/>
      <c r="H45" s="55"/>
      <c r="I45" s="26"/>
    </row>
    <row r="46" spans="2:9" ht="18">
      <c r="B46" s="54" t="s">
        <v>978</v>
      </c>
      <c r="C46" s="55"/>
      <c r="D46" s="799"/>
      <c r="E46" s="921"/>
      <c r="F46" s="55"/>
      <c r="G46" s="55"/>
      <c r="H46" s="55"/>
      <c r="I46" s="26"/>
    </row>
    <row r="47" spans="2:9" ht="18">
      <c r="B47" s="26"/>
      <c r="C47" s="26"/>
      <c r="D47" s="26"/>
      <c r="E47" s="26"/>
      <c r="F47" s="26"/>
      <c r="G47" s="26"/>
      <c r="H47" s="26"/>
      <c r="I47" s="26"/>
    </row>
    <row r="48" spans="2:9" ht="18">
      <c r="B48" s="26"/>
      <c r="C48" s="26"/>
      <c r="D48" s="26"/>
      <c r="E48" s="26"/>
      <c r="F48" s="26"/>
      <c r="G48" s="26"/>
      <c r="H48" s="26"/>
      <c r="I48" s="26"/>
    </row>
    <row r="49" spans="2:9" ht="18">
      <c r="B49" s="25" t="s">
        <v>979</v>
      </c>
      <c r="C49" s="26"/>
      <c r="D49" s="26"/>
      <c r="E49" s="26"/>
      <c r="F49" s="26"/>
      <c r="G49" s="26"/>
      <c r="H49" s="26"/>
      <c r="I49" s="26"/>
    </row>
    <row r="50" spans="2:9" ht="18">
      <c r="B50" s="54" t="s">
        <v>976</v>
      </c>
      <c r="C50" s="55"/>
      <c r="D50" s="55"/>
      <c r="E50" s="55"/>
      <c r="F50" s="55"/>
      <c r="G50" s="55"/>
      <c r="H50" s="55"/>
      <c r="I50" s="26"/>
    </row>
    <row r="51" spans="2:9" ht="18">
      <c r="B51" s="54" t="s">
        <v>977</v>
      </c>
      <c r="C51" s="55"/>
      <c r="D51" s="55"/>
      <c r="E51" s="55"/>
      <c r="F51" s="55"/>
      <c r="G51" s="55"/>
      <c r="H51" s="55"/>
      <c r="I51" s="26"/>
    </row>
    <row r="52" spans="2:9" ht="18">
      <c r="B52" s="54" t="s">
        <v>978</v>
      </c>
      <c r="C52" s="55"/>
      <c r="D52" s="55"/>
      <c r="E52" s="55"/>
      <c r="F52" s="55"/>
      <c r="G52" s="55"/>
      <c r="H52" s="55"/>
      <c r="I52" s="26"/>
    </row>
    <row r="53" spans="2:9" ht="18">
      <c r="B53" s="26"/>
      <c r="C53" s="26"/>
      <c r="D53" s="26"/>
      <c r="E53" s="26"/>
      <c r="F53" s="26"/>
      <c r="G53" s="26"/>
      <c r="H53" s="26"/>
      <c r="I53" s="26"/>
    </row>
    <row r="54" spans="2:9" ht="2.25" customHeight="1">
      <c r="B54" s="26"/>
      <c r="C54" s="26"/>
      <c r="D54" s="26"/>
      <c r="E54" s="26"/>
      <c r="F54" s="26"/>
      <c r="G54" s="26"/>
      <c r="H54" s="26"/>
      <c r="I54" s="26"/>
    </row>
    <row r="55" spans="2:9" ht="18">
      <c r="B55" s="31" t="s">
        <v>1030</v>
      </c>
      <c r="C55" s="24"/>
      <c r="D55" s="56"/>
      <c r="E55" s="32"/>
      <c r="F55" s="32"/>
      <c r="G55" s="32"/>
      <c r="H55" s="32"/>
      <c r="I55" s="32"/>
    </row>
    <row r="56" spans="2:9" ht="18">
      <c r="B56" s="24"/>
      <c r="C56" s="31"/>
      <c r="E56" s="34" t="s">
        <v>991</v>
      </c>
      <c r="G56" s="33" t="s">
        <v>1825</v>
      </c>
      <c r="H56" s="24"/>
      <c r="I56" s="45" t="s">
        <v>1824</v>
      </c>
    </row>
    <row r="57" spans="2:9" ht="18">
      <c r="B57" s="1176"/>
      <c r="C57" s="1176"/>
      <c r="D57" s="1176"/>
      <c r="E57" s="1176"/>
      <c r="F57" s="1176"/>
      <c r="G57" s="1176"/>
      <c r="H57" s="1176"/>
      <c r="I57" s="1176"/>
    </row>
    <row r="58" spans="2:9" ht="18">
      <c r="B58" s="1176"/>
      <c r="C58" s="1176"/>
      <c r="D58" s="1176"/>
      <c r="E58" s="1176"/>
      <c r="F58" s="1176"/>
      <c r="G58" s="1176"/>
      <c r="H58" s="1176"/>
      <c r="I58" s="1176"/>
    </row>
  </sheetData>
  <customSheetViews>
    <customSheetView guid="{871F8275-217B-436F-8813-871F820F0EE4}" showPageBreaks="1" showGridLines="0" printArea="1" view="pageBreakPreview" topLeftCell="A16">
      <selection activeCell="E56" sqref="E56"/>
      <pageMargins left="0.31496062992125984" right="0.31496062992125984" top="0.39370078740157483" bottom="0.39370078740157483" header="0.19685039370078741" footer="0.19685039370078741"/>
      <pageSetup paperSize="9" scale="80" orientation="portrait" r:id="rId1"/>
      <headerFooter alignWithMargins="0">
        <oddFooter>&amp;L&amp;7&amp;D&amp;C&amp;7&amp;P&amp;R&amp;7&amp;F</oddFooter>
      </headerFooter>
    </customSheetView>
    <customSheetView guid="{2EBF18CB-80C9-43ED-A978-2AAEAC40933E}" scale="75" showPageBreaks="1" showGridLines="0" printArea="1" showRuler="0">
      <selection activeCell="H33" sqref="H33"/>
      <pageMargins left="0.31496062992125984" right="0.31496062992125984" top="0.39370078740157483" bottom="0.39370078740157483" header="0.19685039370078741" footer="0.19685039370078741"/>
      <pageSetup paperSize="9" scale="80" orientation="portrait" r:id="rId2"/>
      <headerFooter alignWithMargins="0">
        <oddFooter>&amp;L&amp;7&amp;D&amp;C&amp;7&amp;P&amp;R&amp;7&amp;F</oddFooter>
      </headerFooter>
    </customSheetView>
    <customSheetView guid="{47D3AB49-9599-4A16-951B-F48FEC1C0136}" scale="75" showPageBreaks="1" showGridLines="0" printArea="1" topLeftCell="A22">
      <selection activeCell="E32" sqref="E32"/>
      <pageMargins left="0.31496062992125984" right="0.31496062992125984" top="0.39370078740157483" bottom="0.39370078740157483" header="0.19685039370078741" footer="0.19685039370078741"/>
      <pageSetup paperSize="9" scale="80" orientation="portrait" r:id="rId3"/>
      <headerFooter alignWithMargins="0">
        <oddFooter>&amp;L&amp;7&amp;D&amp;C&amp;7&amp;P&amp;R&amp;7&amp;F</oddFooter>
      </headerFooter>
    </customSheetView>
    <customSheetView guid="{ECE607A2-8A26-46E0-8BDC-E9AD788F604C}" showPageBreaks="1" showGridLines="0" printArea="1" view="pageBreakPreview">
      <selection activeCell="F8" sqref="F8"/>
      <pageMargins left="0.31496062992125984" right="0.31496062992125984" top="0.39370078740157483" bottom="0.39370078740157483" header="0.19685039370078741" footer="0.19685039370078741"/>
      <pageSetup paperSize="9" scale="80" orientation="portrait" r:id="rId4"/>
      <headerFooter alignWithMargins="0">
        <oddFooter>&amp;L&amp;7&amp;D&amp;C&amp;7&amp;P&amp;R&amp;7&amp;F</oddFooter>
      </headerFooter>
    </customSheetView>
    <customSheetView guid="{FB1E0752-409C-4E7D-BCFE-7AEBEB8B5F0D}" showPageBreaks="1" showGridLines="0" printArea="1" view="pageBreakPreview">
      <selection activeCell="F8" sqref="F8"/>
      <pageMargins left="0.31496062992125984" right="0.31496062992125984" top="0.39370078740157483" bottom="0.39370078740157483" header="0.19685039370078741" footer="0.19685039370078741"/>
      <pageSetup paperSize="9" scale="80" orientation="portrait" r:id="rId5"/>
      <headerFooter alignWithMargins="0">
        <oddFooter>&amp;L&amp;7&amp;D&amp;C&amp;7&amp;P&amp;R&amp;7&amp;F</oddFooter>
      </headerFooter>
    </customSheetView>
  </customSheetViews>
  <mergeCells count="10">
    <mergeCell ref="A3:I3"/>
    <mergeCell ref="F1:I1"/>
    <mergeCell ref="B57:I57"/>
    <mergeCell ref="B58:I58"/>
    <mergeCell ref="E38:H38"/>
    <mergeCell ref="B32:D33"/>
    <mergeCell ref="E36:H36"/>
    <mergeCell ref="B8:D9"/>
    <mergeCell ref="B11:D12"/>
    <mergeCell ref="E33:H33"/>
  </mergeCells>
  <phoneticPr fontId="0" type="noConversion"/>
  <pageMargins left="0.31496062992125984" right="0.31496062992125984" top="0.39370078740157483" bottom="0.39370078740157483" header="0.19685039370078741" footer="0.19685039370078741"/>
  <pageSetup paperSize="9" scale="79" orientation="portrait" r:id="rId6"/>
  <headerFooter alignWithMargins="0">
    <oddFooter>&amp;L&amp;7&amp;D&amp;C&amp;7&amp;P&amp;R&amp;7&amp;F</oddFooter>
  </headerFooter>
</worksheet>
</file>

<file path=xl/worksheets/sheet50.xml><?xml version="1.0" encoding="utf-8"?>
<worksheet xmlns="http://schemas.openxmlformats.org/spreadsheetml/2006/main" xmlns:r="http://schemas.openxmlformats.org/officeDocument/2006/relationships">
  <sheetPr codeName="Лист52"/>
  <dimension ref="B1:O61"/>
  <sheetViews>
    <sheetView workbookViewId="0"/>
  </sheetViews>
  <sheetFormatPr defaultColWidth="8.85546875" defaultRowHeight="15"/>
  <cols>
    <col min="1" max="1" width="1.42578125" style="993" customWidth="1"/>
    <col min="2" max="2" width="7.7109375" style="993" customWidth="1"/>
    <col min="3" max="3" width="29.5703125" style="993" customWidth="1"/>
    <col min="4" max="4" width="11.7109375" style="993" customWidth="1"/>
    <col min="5" max="5" width="9.85546875" style="993" bestFit="1" customWidth="1"/>
    <col min="6" max="6" width="10.140625" style="993" bestFit="1" customWidth="1"/>
    <col min="7" max="7" width="9.5703125" style="993" bestFit="1" customWidth="1"/>
    <col min="8" max="8" width="10" style="993" bestFit="1" customWidth="1"/>
    <col min="9" max="9" width="8.85546875" style="993" bestFit="1" customWidth="1"/>
    <col min="10" max="10" width="13.85546875" style="993" customWidth="1"/>
    <col min="11" max="11" width="13.140625" style="993" customWidth="1"/>
    <col min="12" max="12" width="13.5703125" style="993" customWidth="1"/>
    <col min="13" max="13" width="13" style="993" customWidth="1"/>
    <col min="14" max="14" width="10.42578125" style="993" bestFit="1" customWidth="1"/>
    <col min="15" max="15" width="9.85546875" style="993" bestFit="1" customWidth="1"/>
    <col min="16" max="16384" width="8.85546875" style="993"/>
  </cols>
  <sheetData>
    <row r="1" spans="2:15" ht="30" customHeight="1">
      <c r="L1" s="1294" t="s">
        <v>2274</v>
      </c>
      <c r="M1" s="1294"/>
      <c r="N1" s="1294"/>
      <c r="O1" s="1294"/>
    </row>
    <row r="2" spans="2:15">
      <c r="C2" s="973" t="str">
        <f>T!E18</f>
        <v>Номгӯи ташкилоти қарзӣ</v>
      </c>
      <c r="E2" s="967"/>
      <c r="F2" s="967"/>
      <c r="G2" s="967"/>
      <c r="H2" s="967"/>
      <c r="I2" s="967"/>
    </row>
    <row r="3" spans="2:15">
      <c r="C3" s="974" t="str">
        <f>T!B10</f>
        <v>Ҳисобот дар санаи</v>
      </c>
      <c r="E3" s="967"/>
      <c r="F3" s="967"/>
      <c r="G3" s="967"/>
      <c r="H3" s="967"/>
      <c r="I3" s="967"/>
    </row>
    <row r="4" spans="2:15">
      <c r="C4" s="975" t="str">
        <f>'List of Scedules'!B49</f>
        <v xml:space="preserve">ҶАДВАЛИ 24.03. 50 ҚАРЗҲОИ КАЛОНТАРИНИ ҒАЙРИФАЪОЛИ НАВ </v>
      </c>
      <c r="E4" s="975"/>
      <c r="F4" s="975"/>
      <c r="G4" s="975"/>
      <c r="H4" s="975"/>
      <c r="I4" s="975"/>
    </row>
    <row r="5" spans="2:15">
      <c r="C5" s="975"/>
      <c r="E5" s="975"/>
      <c r="F5" s="975"/>
      <c r="G5" s="975"/>
      <c r="H5" s="975"/>
      <c r="I5" s="975"/>
    </row>
    <row r="6" spans="2:15">
      <c r="B6" s="1288" t="s">
        <v>888</v>
      </c>
      <c r="C6" s="1290" t="s">
        <v>2153</v>
      </c>
      <c r="D6" s="1291" t="s">
        <v>2342</v>
      </c>
      <c r="E6" s="1292"/>
      <c r="F6" s="1292"/>
      <c r="G6" s="1292"/>
      <c r="H6" s="1292"/>
      <c r="I6" s="1292"/>
      <c r="J6" s="1292"/>
      <c r="K6" s="1292"/>
      <c r="L6" s="1292"/>
      <c r="M6" s="1292"/>
      <c r="N6" s="1292"/>
      <c r="O6" s="1293"/>
    </row>
    <row r="7" spans="2:15" ht="45">
      <c r="B7" s="1289"/>
      <c r="C7" s="1290"/>
      <c r="D7" s="1035" t="s">
        <v>2236</v>
      </c>
      <c r="E7" s="1035" t="s">
        <v>2154</v>
      </c>
      <c r="F7" s="1035" t="s">
        <v>2242</v>
      </c>
      <c r="G7" s="1035" t="s">
        <v>2277</v>
      </c>
      <c r="H7" s="1035" t="s">
        <v>2237</v>
      </c>
      <c r="I7" s="1035" t="s">
        <v>2238</v>
      </c>
      <c r="J7" s="1035" t="s">
        <v>2239</v>
      </c>
      <c r="K7" s="1035" t="s">
        <v>2155</v>
      </c>
      <c r="L7" s="1035" t="s">
        <v>2243</v>
      </c>
      <c r="M7" s="1035" t="s">
        <v>2240</v>
      </c>
      <c r="N7" s="1035" t="s">
        <v>2278</v>
      </c>
      <c r="O7" s="1035" t="s">
        <v>2241</v>
      </c>
    </row>
    <row r="8" spans="2:15">
      <c r="B8" s="1036"/>
      <c r="C8" s="1037" t="s">
        <v>2257</v>
      </c>
      <c r="D8" s="1037" t="s">
        <v>2258</v>
      </c>
      <c r="E8" s="1037" t="s">
        <v>2259</v>
      </c>
      <c r="F8" s="1037" t="s">
        <v>2260</v>
      </c>
      <c r="G8" s="1037" t="s">
        <v>2261</v>
      </c>
      <c r="H8" s="1037" t="s">
        <v>2262</v>
      </c>
      <c r="I8" s="1037" t="s">
        <v>2263</v>
      </c>
      <c r="J8" s="1037" t="s">
        <v>2264</v>
      </c>
      <c r="K8" s="1037" t="s">
        <v>2265</v>
      </c>
      <c r="L8" s="1037" t="s">
        <v>2266</v>
      </c>
      <c r="M8" s="1037" t="s">
        <v>2325</v>
      </c>
      <c r="N8" s="1037" t="s">
        <v>2326</v>
      </c>
      <c r="O8" s="1037" t="s">
        <v>2327</v>
      </c>
    </row>
    <row r="9" spans="2:15">
      <c r="B9" s="1037" t="s">
        <v>1268</v>
      </c>
      <c r="C9" s="1036"/>
      <c r="D9" s="1035"/>
      <c r="E9" s="1035"/>
      <c r="F9" s="1035"/>
      <c r="G9" s="1035"/>
      <c r="H9" s="1035"/>
      <c r="I9" s="1035"/>
      <c r="J9" s="994">
        <f>SUM(J10:J59)</f>
        <v>0</v>
      </c>
      <c r="K9" s="994">
        <f>SUM(K10:K59)</f>
        <v>0</v>
      </c>
      <c r="L9" s="994">
        <f>SUM(L10:L59)</f>
        <v>0</v>
      </c>
      <c r="M9" s="994">
        <f>SUM(M10:M59)</f>
        <v>0</v>
      </c>
      <c r="N9" s="994">
        <f>SUM(N10:N59)</f>
        <v>0</v>
      </c>
      <c r="O9" s="1035"/>
    </row>
    <row r="10" spans="2:15">
      <c r="B10" s="1016">
        <v>1</v>
      </c>
      <c r="C10" s="1017"/>
      <c r="D10" s="989">
        <v>0</v>
      </c>
      <c r="E10" s="1005">
        <v>0</v>
      </c>
      <c r="F10" s="1005">
        <v>1</v>
      </c>
      <c r="G10" s="989">
        <v>0</v>
      </c>
      <c r="H10" s="989">
        <v>0</v>
      </c>
      <c r="I10" s="989">
        <v>0</v>
      </c>
      <c r="J10" s="989">
        <v>0</v>
      </c>
      <c r="K10" s="989">
        <v>0</v>
      </c>
      <c r="L10" s="989">
        <v>0</v>
      </c>
      <c r="M10" s="989">
        <v>0</v>
      </c>
      <c r="N10" s="989">
        <v>0</v>
      </c>
      <c r="O10" s="1005">
        <v>1</v>
      </c>
    </row>
    <row r="11" spans="2:15">
      <c r="B11" s="1018"/>
      <c r="C11" s="1019"/>
      <c r="D11" s="1019"/>
      <c r="E11" s="1020"/>
      <c r="F11" s="1020"/>
      <c r="G11" s="1020"/>
      <c r="H11" s="1020"/>
      <c r="I11" s="1020"/>
      <c r="J11" s="1020"/>
      <c r="K11" s="1020"/>
      <c r="L11" s="1020"/>
      <c r="M11" s="1020"/>
      <c r="N11" s="1020"/>
      <c r="O11" s="1020"/>
    </row>
    <row r="12" spans="2:15">
      <c r="B12" s="1018"/>
      <c r="C12" s="1019"/>
      <c r="D12" s="1019"/>
      <c r="E12" s="1020"/>
      <c r="F12" s="1020"/>
      <c r="G12" s="1020"/>
      <c r="H12" s="1020"/>
      <c r="I12" s="1020"/>
      <c r="J12" s="1020"/>
      <c r="K12" s="1020"/>
      <c r="L12" s="1020"/>
      <c r="M12" s="1020"/>
      <c r="N12" s="1020"/>
      <c r="O12" s="1020"/>
    </row>
    <row r="13" spans="2:15">
      <c r="B13" s="1018"/>
      <c r="C13" s="1019"/>
      <c r="D13" s="1019"/>
      <c r="E13" s="1020"/>
      <c r="F13" s="1020"/>
      <c r="G13" s="1020"/>
      <c r="H13" s="1020"/>
      <c r="I13" s="1020"/>
      <c r="J13" s="1020"/>
      <c r="K13" s="1020"/>
      <c r="L13" s="1020"/>
      <c r="M13" s="1020"/>
      <c r="N13" s="1020"/>
      <c r="O13" s="1020"/>
    </row>
    <row r="14" spans="2:15">
      <c r="B14" s="1018"/>
      <c r="C14" s="1019"/>
      <c r="D14" s="1019"/>
      <c r="E14" s="1020"/>
      <c r="F14" s="1020"/>
      <c r="G14" s="1020"/>
      <c r="H14" s="1020"/>
      <c r="I14" s="1020"/>
      <c r="J14" s="1020"/>
      <c r="K14" s="1020"/>
      <c r="L14" s="1020"/>
      <c r="M14" s="1020"/>
      <c r="N14" s="1020"/>
      <c r="O14" s="1020"/>
    </row>
    <row r="15" spans="2:15">
      <c r="B15" s="1018"/>
      <c r="C15" s="1019"/>
      <c r="D15" s="1019"/>
      <c r="E15" s="1020"/>
      <c r="F15" s="1020"/>
      <c r="G15" s="1020"/>
      <c r="H15" s="1020"/>
      <c r="I15" s="1020"/>
      <c r="J15" s="1020"/>
      <c r="K15" s="1020"/>
      <c r="L15" s="1020"/>
      <c r="M15" s="1020"/>
      <c r="N15" s="1020"/>
      <c r="O15" s="1020"/>
    </row>
    <row r="16" spans="2:15">
      <c r="B16" s="1018"/>
      <c r="C16" s="1019"/>
      <c r="D16" s="1019"/>
      <c r="E16" s="1020"/>
      <c r="F16" s="1020"/>
      <c r="G16" s="1020"/>
      <c r="H16" s="1020"/>
      <c r="I16" s="1020"/>
      <c r="J16" s="1020"/>
      <c r="K16" s="1020"/>
      <c r="L16" s="1020"/>
      <c r="M16" s="1020"/>
      <c r="N16" s="1020"/>
      <c r="O16" s="1020"/>
    </row>
    <row r="17" spans="2:15">
      <c r="B17" s="1018"/>
      <c r="C17" s="1019"/>
      <c r="D17" s="1019"/>
      <c r="E17" s="1020"/>
      <c r="F17" s="1020"/>
      <c r="G17" s="1020"/>
      <c r="H17" s="1020"/>
      <c r="I17" s="1020"/>
      <c r="J17" s="1020"/>
      <c r="K17" s="1020"/>
      <c r="L17" s="1020"/>
      <c r="M17" s="1020"/>
      <c r="N17" s="1020"/>
      <c r="O17" s="1020"/>
    </row>
    <row r="18" spans="2:15">
      <c r="B18" s="1018"/>
      <c r="C18" s="1019"/>
      <c r="D18" s="1019"/>
      <c r="E18" s="1020"/>
      <c r="F18" s="1020"/>
      <c r="G18" s="1020"/>
      <c r="H18" s="1020"/>
      <c r="I18" s="1020"/>
      <c r="J18" s="1020"/>
      <c r="K18" s="1020"/>
      <c r="L18" s="1020"/>
      <c r="M18" s="1020"/>
      <c r="N18" s="1020"/>
      <c r="O18" s="1020"/>
    </row>
    <row r="19" spans="2:15">
      <c r="B19" s="1018"/>
      <c r="C19" s="1019"/>
      <c r="D19" s="1019"/>
      <c r="E19" s="1020"/>
      <c r="F19" s="1020"/>
      <c r="G19" s="1020"/>
      <c r="H19" s="1020"/>
      <c r="I19" s="1020"/>
      <c r="J19" s="1020"/>
      <c r="K19" s="1020"/>
      <c r="L19" s="1020"/>
      <c r="M19" s="1020"/>
      <c r="N19" s="1020"/>
      <c r="O19" s="1020"/>
    </row>
    <row r="20" spans="2:15">
      <c r="B20" s="1018"/>
      <c r="C20" s="1019"/>
      <c r="D20" s="1019"/>
      <c r="E20" s="1020"/>
      <c r="F20" s="1020"/>
      <c r="G20" s="1020"/>
      <c r="H20" s="1020"/>
      <c r="I20" s="1020"/>
      <c r="J20" s="1020"/>
      <c r="K20" s="1020"/>
      <c r="L20" s="1020"/>
      <c r="M20" s="1020"/>
      <c r="N20" s="1020"/>
      <c r="O20" s="1020"/>
    </row>
    <row r="21" spans="2:15">
      <c r="B21" s="1018"/>
      <c r="C21" s="1019"/>
      <c r="D21" s="1019"/>
      <c r="E21" s="1020"/>
      <c r="F21" s="1020"/>
      <c r="G21" s="1020"/>
      <c r="H21" s="1020"/>
      <c r="I21" s="1020"/>
      <c r="J21" s="1020"/>
      <c r="K21" s="1020"/>
      <c r="L21" s="1020"/>
      <c r="M21" s="1020"/>
      <c r="N21" s="1020"/>
      <c r="O21" s="1020"/>
    </row>
    <row r="22" spans="2:15">
      <c r="B22" s="1018"/>
      <c r="C22" s="1019"/>
      <c r="D22" s="1019"/>
      <c r="E22" s="1020"/>
      <c r="F22" s="1020"/>
      <c r="G22" s="1020"/>
      <c r="H22" s="1020"/>
      <c r="I22" s="1020"/>
      <c r="J22" s="1020"/>
      <c r="K22" s="1020"/>
      <c r="L22" s="1020"/>
      <c r="M22" s="1020"/>
      <c r="N22" s="1020"/>
      <c r="O22" s="1020"/>
    </row>
    <row r="23" spans="2:15">
      <c r="B23" s="1018"/>
      <c r="C23" s="1019"/>
      <c r="D23" s="1019"/>
      <c r="E23" s="1020"/>
      <c r="F23" s="1020"/>
      <c r="G23" s="1020"/>
      <c r="H23" s="1020"/>
      <c r="I23" s="1020"/>
      <c r="J23" s="1020"/>
      <c r="K23" s="1020"/>
      <c r="L23" s="1020"/>
      <c r="M23" s="1020"/>
      <c r="N23" s="1020"/>
      <c r="O23" s="1020"/>
    </row>
    <row r="24" spans="2:15">
      <c r="B24" s="1018"/>
      <c r="C24" s="1019"/>
      <c r="D24" s="1019"/>
      <c r="E24" s="1020"/>
      <c r="F24" s="1020"/>
      <c r="G24" s="1020"/>
      <c r="H24" s="1020"/>
      <c r="I24" s="1020"/>
      <c r="J24" s="1020"/>
      <c r="K24" s="1020"/>
      <c r="L24" s="1020"/>
      <c r="M24" s="1020"/>
      <c r="N24" s="1020"/>
      <c r="O24" s="1020"/>
    </row>
    <row r="25" spans="2:15">
      <c r="B25" s="1018"/>
      <c r="C25" s="1019"/>
      <c r="D25" s="1019"/>
      <c r="E25" s="1020"/>
      <c r="F25" s="1020"/>
      <c r="G25" s="1020"/>
      <c r="H25" s="1020"/>
      <c r="I25" s="1020"/>
      <c r="J25" s="1020"/>
      <c r="K25" s="1020"/>
      <c r="L25" s="1020"/>
      <c r="M25" s="1020"/>
      <c r="N25" s="1020"/>
      <c r="O25" s="1020"/>
    </row>
    <row r="26" spans="2:15">
      <c r="B26" s="1018"/>
      <c r="C26" s="1019"/>
      <c r="D26" s="1019"/>
      <c r="E26" s="1020"/>
      <c r="F26" s="1020"/>
      <c r="G26" s="1020"/>
      <c r="H26" s="1020"/>
      <c r="I26" s="1020"/>
      <c r="J26" s="1020"/>
      <c r="K26" s="1020"/>
      <c r="L26" s="1020"/>
      <c r="M26" s="1020"/>
      <c r="N26" s="1020"/>
      <c r="O26" s="1020"/>
    </row>
    <row r="27" spans="2:15">
      <c r="B27" s="1018"/>
      <c r="C27" s="1019"/>
      <c r="D27" s="1019"/>
      <c r="E27" s="1020"/>
      <c r="F27" s="1020"/>
      <c r="G27" s="1020"/>
      <c r="H27" s="1020"/>
      <c r="I27" s="1020"/>
      <c r="J27" s="1020"/>
      <c r="K27" s="1020"/>
      <c r="L27" s="1020"/>
      <c r="M27" s="1020"/>
      <c r="N27" s="1020"/>
      <c r="O27" s="1020"/>
    </row>
    <row r="28" spans="2:15">
      <c r="B28" s="1018"/>
      <c r="C28" s="1019"/>
      <c r="D28" s="1019"/>
      <c r="E28" s="1020"/>
      <c r="F28" s="1020"/>
      <c r="G28" s="1020"/>
      <c r="H28" s="1020"/>
      <c r="I28" s="1020"/>
      <c r="J28" s="1020"/>
      <c r="K28" s="1020"/>
      <c r="L28" s="1020"/>
      <c r="M28" s="1020"/>
      <c r="N28" s="1020"/>
      <c r="O28" s="1020"/>
    </row>
    <row r="29" spans="2:15">
      <c r="B29" s="1018"/>
      <c r="C29" s="1019"/>
      <c r="D29" s="1019"/>
      <c r="E29" s="1020"/>
      <c r="F29" s="1020"/>
      <c r="G29" s="1020"/>
      <c r="H29" s="1020"/>
      <c r="I29" s="1020"/>
      <c r="J29" s="1020"/>
      <c r="K29" s="1020"/>
      <c r="L29" s="1020"/>
      <c r="M29" s="1020"/>
      <c r="N29" s="1020"/>
      <c r="O29" s="1020"/>
    </row>
    <row r="30" spans="2:15">
      <c r="B30" s="1018"/>
      <c r="C30" s="1019"/>
      <c r="D30" s="1019"/>
      <c r="E30" s="1020"/>
      <c r="F30" s="1020"/>
      <c r="G30" s="1020"/>
      <c r="H30" s="1020"/>
      <c r="I30" s="1020"/>
      <c r="J30" s="1020"/>
      <c r="K30" s="1020"/>
      <c r="L30" s="1020"/>
      <c r="M30" s="1020"/>
      <c r="N30" s="1020"/>
      <c r="O30" s="1020"/>
    </row>
    <row r="31" spans="2:15">
      <c r="B31" s="1018"/>
      <c r="C31" s="1019"/>
      <c r="D31" s="1019"/>
      <c r="E31" s="1020"/>
      <c r="F31" s="1020"/>
      <c r="G31" s="1020"/>
      <c r="H31" s="1020"/>
      <c r="I31" s="1020"/>
      <c r="J31" s="1020"/>
      <c r="K31" s="1020"/>
      <c r="L31" s="1020"/>
      <c r="M31" s="1020"/>
      <c r="N31" s="1020"/>
      <c r="O31" s="1020"/>
    </row>
    <row r="32" spans="2:15">
      <c r="B32" s="1018"/>
      <c r="C32" s="1019"/>
      <c r="D32" s="1019"/>
      <c r="E32" s="1020"/>
      <c r="F32" s="1020"/>
      <c r="G32" s="1020"/>
      <c r="H32" s="1020"/>
      <c r="I32" s="1020"/>
      <c r="J32" s="1020"/>
      <c r="K32" s="1020"/>
      <c r="L32" s="1020"/>
      <c r="M32" s="1020"/>
      <c r="N32" s="1020"/>
      <c r="O32" s="1020"/>
    </row>
    <row r="33" spans="2:15">
      <c r="B33" s="1018"/>
      <c r="C33" s="1019"/>
      <c r="D33" s="1019"/>
      <c r="E33" s="1020"/>
      <c r="F33" s="1020"/>
      <c r="G33" s="1020"/>
      <c r="H33" s="1020"/>
      <c r="I33" s="1020"/>
      <c r="J33" s="1020"/>
      <c r="K33" s="1020"/>
      <c r="L33" s="1020"/>
      <c r="M33" s="1020"/>
      <c r="N33" s="1020"/>
      <c r="O33" s="1020"/>
    </row>
    <row r="34" spans="2:15">
      <c r="B34" s="1018"/>
      <c r="C34" s="1019"/>
      <c r="D34" s="1019"/>
      <c r="E34" s="1020"/>
      <c r="F34" s="1020"/>
      <c r="G34" s="1020"/>
      <c r="H34" s="1020"/>
      <c r="I34" s="1020"/>
      <c r="J34" s="1020"/>
      <c r="K34" s="1020"/>
      <c r="L34" s="1020"/>
      <c r="M34" s="1020"/>
      <c r="N34" s="1020"/>
      <c r="O34" s="1020"/>
    </row>
    <row r="35" spans="2:15">
      <c r="B35" s="1018"/>
      <c r="C35" s="1019"/>
      <c r="D35" s="1019"/>
      <c r="E35" s="1020"/>
      <c r="F35" s="1020"/>
      <c r="G35" s="1020"/>
      <c r="H35" s="1020"/>
      <c r="I35" s="1020"/>
      <c r="J35" s="1020"/>
      <c r="K35" s="1020"/>
      <c r="L35" s="1020"/>
      <c r="M35" s="1020"/>
      <c r="N35" s="1020"/>
      <c r="O35" s="1020"/>
    </row>
    <row r="36" spans="2:15">
      <c r="B36" s="1018"/>
      <c r="C36" s="1019"/>
      <c r="D36" s="1019"/>
      <c r="E36" s="1020"/>
      <c r="F36" s="1020"/>
      <c r="G36" s="1020"/>
      <c r="H36" s="1020"/>
      <c r="I36" s="1020"/>
      <c r="J36" s="1020"/>
      <c r="K36" s="1020"/>
      <c r="L36" s="1020"/>
      <c r="M36" s="1020"/>
      <c r="N36" s="1020"/>
      <c r="O36" s="1020"/>
    </row>
    <row r="37" spans="2:15">
      <c r="B37" s="1018"/>
      <c r="C37" s="1019"/>
      <c r="D37" s="1019"/>
      <c r="E37" s="1020"/>
      <c r="F37" s="1020"/>
      <c r="G37" s="1020"/>
      <c r="H37" s="1020"/>
      <c r="I37" s="1020"/>
      <c r="J37" s="1020"/>
      <c r="K37" s="1020"/>
      <c r="L37" s="1020"/>
      <c r="M37" s="1020"/>
      <c r="N37" s="1020"/>
      <c r="O37" s="1020"/>
    </row>
    <row r="38" spans="2:15">
      <c r="B38" s="1018"/>
      <c r="C38" s="1019"/>
      <c r="D38" s="1019"/>
      <c r="E38" s="1020"/>
      <c r="F38" s="1020"/>
      <c r="G38" s="1020"/>
      <c r="H38" s="1020"/>
      <c r="I38" s="1020"/>
      <c r="J38" s="1020"/>
      <c r="K38" s="1020"/>
      <c r="L38" s="1020"/>
      <c r="M38" s="1020"/>
      <c r="N38" s="1020"/>
      <c r="O38" s="1020"/>
    </row>
    <row r="39" spans="2:15">
      <c r="B39" s="1018"/>
      <c r="C39" s="1019"/>
      <c r="D39" s="1019"/>
      <c r="E39" s="1020"/>
      <c r="F39" s="1020"/>
      <c r="G39" s="1020"/>
      <c r="H39" s="1020"/>
      <c r="I39" s="1020"/>
      <c r="J39" s="1020"/>
      <c r="K39" s="1020"/>
      <c r="L39" s="1020"/>
      <c r="M39" s="1020"/>
      <c r="N39" s="1020"/>
      <c r="O39" s="1020"/>
    </row>
    <row r="40" spans="2:15">
      <c r="B40" s="1018"/>
      <c r="C40" s="1019"/>
      <c r="D40" s="1019"/>
      <c r="E40" s="1020"/>
      <c r="F40" s="1020"/>
      <c r="G40" s="1020"/>
      <c r="H40" s="1020"/>
      <c r="I40" s="1020"/>
      <c r="J40" s="1020"/>
      <c r="K40" s="1020"/>
      <c r="L40" s="1020"/>
      <c r="M40" s="1020"/>
      <c r="N40" s="1020"/>
      <c r="O40" s="1020"/>
    </row>
    <row r="41" spans="2:15">
      <c r="B41" s="1018"/>
      <c r="C41" s="1019"/>
      <c r="D41" s="1019"/>
      <c r="E41" s="1020"/>
      <c r="F41" s="1020"/>
      <c r="G41" s="1020"/>
      <c r="H41" s="1020"/>
      <c r="I41" s="1020"/>
      <c r="J41" s="1020"/>
      <c r="K41" s="1020"/>
      <c r="L41" s="1020"/>
      <c r="M41" s="1020"/>
      <c r="N41" s="1020"/>
      <c r="O41" s="1020"/>
    </row>
    <row r="42" spans="2:15">
      <c r="B42" s="1018"/>
      <c r="C42" s="1019"/>
      <c r="D42" s="1019"/>
      <c r="E42" s="1020"/>
      <c r="F42" s="1020"/>
      <c r="G42" s="1020"/>
      <c r="H42" s="1020"/>
      <c r="I42" s="1020"/>
      <c r="J42" s="1020"/>
      <c r="K42" s="1020"/>
      <c r="L42" s="1020"/>
      <c r="M42" s="1020"/>
      <c r="N42" s="1020"/>
      <c r="O42" s="1020"/>
    </row>
    <row r="43" spans="2:15">
      <c r="B43" s="1018"/>
      <c r="C43" s="1019"/>
      <c r="D43" s="1019"/>
      <c r="E43" s="1020"/>
      <c r="F43" s="1020"/>
      <c r="G43" s="1020"/>
      <c r="H43" s="1020"/>
      <c r="I43" s="1020"/>
      <c r="J43" s="1020"/>
      <c r="K43" s="1020"/>
      <c r="L43" s="1020"/>
      <c r="M43" s="1020"/>
      <c r="N43" s="1020"/>
      <c r="O43" s="1020"/>
    </row>
    <row r="44" spans="2:15">
      <c r="B44" s="1018"/>
      <c r="C44" s="1019"/>
      <c r="D44" s="1019"/>
      <c r="E44" s="1020"/>
      <c r="F44" s="1020"/>
      <c r="G44" s="1020"/>
      <c r="H44" s="1020"/>
      <c r="I44" s="1020"/>
      <c r="J44" s="1020"/>
      <c r="K44" s="1020"/>
      <c r="L44" s="1020"/>
      <c r="M44" s="1020"/>
      <c r="N44" s="1020"/>
      <c r="O44" s="1020"/>
    </row>
    <row r="45" spans="2:15">
      <c r="B45" s="1018"/>
      <c r="C45" s="1019"/>
      <c r="D45" s="1019"/>
      <c r="E45" s="1020"/>
      <c r="F45" s="1020"/>
      <c r="G45" s="1020"/>
      <c r="H45" s="1020"/>
      <c r="I45" s="1020"/>
      <c r="J45" s="1020"/>
      <c r="K45" s="1020"/>
      <c r="L45" s="1020"/>
      <c r="M45" s="1020"/>
      <c r="N45" s="1020"/>
      <c r="O45" s="1020"/>
    </row>
    <row r="46" spans="2:15">
      <c r="B46" s="1018"/>
      <c r="C46" s="1019"/>
      <c r="D46" s="1019"/>
      <c r="E46" s="1020"/>
      <c r="F46" s="1020"/>
      <c r="G46" s="1020"/>
      <c r="H46" s="1020"/>
      <c r="I46" s="1020"/>
      <c r="J46" s="1020"/>
      <c r="K46" s="1020"/>
      <c r="L46" s="1020"/>
      <c r="M46" s="1020"/>
      <c r="N46" s="1020"/>
      <c r="O46" s="1020"/>
    </row>
    <row r="47" spans="2:15">
      <c r="B47" s="1018"/>
      <c r="C47" s="1019"/>
      <c r="D47" s="1019"/>
      <c r="E47" s="1020"/>
      <c r="F47" s="1020"/>
      <c r="G47" s="1020"/>
      <c r="H47" s="1020"/>
      <c r="I47" s="1020"/>
      <c r="J47" s="1020"/>
      <c r="K47" s="1020"/>
      <c r="L47" s="1020"/>
      <c r="M47" s="1020"/>
      <c r="N47" s="1020"/>
      <c r="O47" s="1020"/>
    </row>
    <row r="48" spans="2:15">
      <c r="B48" s="1018"/>
      <c r="C48" s="1019"/>
      <c r="D48" s="1019"/>
      <c r="E48" s="1020"/>
      <c r="F48" s="1020"/>
      <c r="G48" s="1020"/>
      <c r="H48" s="1020"/>
      <c r="I48" s="1020"/>
      <c r="J48" s="1020"/>
      <c r="K48" s="1020"/>
      <c r="L48" s="1020"/>
      <c r="M48" s="1020"/>
      <c r="N48" s="1020"/>
      <c r="O48" s="1020"/>
    </row>
    <row r="49" spans="2:15">
      <c r="B49" s="1018"/>
      <c r="C49" s="1019"/>
      <c r="D49" s="1019"/>
      <c r="E49" s="1020"/>
      <c r="F49" s="1020"/>
      <c r="G49" s="1020"/>
      <c r="H49" s="1020"/>
      <c r="I49" s="1020"/>
      <c r="J49" s="1020"/>
      <c r="K49" s="1020"/>
      <c r="L49" s="1020"/>
      <c r="M49" s="1020"/>
      <c r="N49" s="1020"/>
      <c r="O49" s="1020"/>
    </row>
    <row r="50" spans="2:15">
      <c r="B50" s="1018"/>
      <c r="C50" s="1019"/>
      <c r="D50" s="1019"/>
      <c r="E50" s="1020"/>
      <c r="F50" s="1020"/>
      <c r="G50" s="1020"/>
      <c r="H50" s="1020"/>
      <c r="I50" s="1020"/>
      <c r="J50" s="1020"/>
      <c r="K50" s="1020"/>
      <c r="L50" s="1020"/>
      <c r="M50" s="1020"/>
      <c r="N50" s="1020"/>
      <c r="O50" s="1020"/>
    </row>
    <row r="51" spans="2:15">
      <c r="B51" s="1018"/>
      <c r="C51" s="1019"/>
      <c r="D51" s="1019"/>
      <c r="E51" s="1020"/>
      <c r="F51" s="1020"/>
      <c r="G51" s="1020"/>
      <c r="H51" s="1020"/>
      <c r="I51" s="1020"/>
      <c r="J51" s="1020"/>
      <c r="K51" s="1020"/>
      <c r="L51" s="1020"/>
      <c r="M51" s="1020"/>
      <c r="N51" s="1020"/>
      <c r="O51" s="1020"/>
    </row>
    <row r="52" spans="2:15">
      <c r="B52" s="1018"/>
      <c r="C52" s="1019"/>
      <c r="D52" s="1019"/>
      <c r="E52" s="1020"/>
      <c r="F52" s="1020"/>
      <c r="G52" s="1020"/>
      <c r="H52" s="1020"/>
      <c r="I52" s="1020"/>
      <c r="J52" s="1020"/>
      <c r="K52" s="1020"/>
      <c r="L52" s="1020"/>
      <c r="M52" s="1020"/>
      <c r="N52" s="1020"/>
      <c r="O52" s="1020"/>
    </row>
    <row r="53" spans="2:15">
      <c r="B53" s="1018"/>
      <c r="C53" s="1019"/>
      <c r="D53" s="1019"/>
      <c r="E53" s="1020"/>
      <c r="F53" s="1020"/>
      <c r="G53" s="1020"/>
      <c r="H53" s="1020"/>
      <c r="I53" s="1020"/>
      <c r="J53" s="1020"/>
      <c r="K53" s="1020"/>
      <c r="L53" s="1020"/>
      <c r="M53" s="1020"/>
      <c r="N53" s="1020"/>
      <c r="O53" s="1020"/>
    </row>
    <row r="54" spans="2:15">
      <c r="B54" s="1018"/>
      <c r="C54" s="1019"/>
      <c r="D54" s="1019"/>
      <c r="E54" s="1020"/>
      <c r="F54" s="1020"/>
      <c r="G54" s="1020"/>
      <c r="H54" s="1020"/>
      <c r="I54" s="1020"/>
      <c r="J54" s="1020"/>
      <c r="K54" s="1020"/>
      <c r="L54" s="1020"/>
      <c r="M54" s="1020"/>
      <c r="N54" s="1020"/>
      <c r="O54" s="1020"/>
    </row>
    <row r="55" spans="2:15">
      <c r="B55" s="1018"/>
      <c r="C55" s="1019"/>
      <c r="D55" s="1019"/>
      <c r="E55" s="1020"/>
      <c r="F55" s="1020"/>
      <c r="G55" s="1020"/>
      <c r="H55" s="1020"/>
      <c r="I55" s="1020"/>
      <c r="J55" s="1020"/>
      <c r="K55" s="1020"/>
      <c r="L55" s="1020"/>
      <c r="M55" s="1020"/>
      <c r="N55" s="1020"/>
      <c r="O55" s="1020"/>
    </row>
    <row r="56" spans="2:15">
      <c r="B56" s="1018"/>
      <c r="C56" s="1019"/>
      <c r="D56" s="1019"/>
      <c r="E56" s="1020"/>
      <c r="F56" s="1020"/>
      <c r="G56" s="1020"/>
      <c r="H56" s="1020"/>
      <c r="I56" s="1020"/>
      <c r="J56" s="1020"/>
      <c r="K56" s="1020"/>
      <c r="L56" s="1020"/>
      <c r="M56" s="1020"/>
      <c r="N56" s="1020"/>
      <c r="O56" s="1020"/>
    </row>
    <row r="57" spans="2:15">
      <c r="B57" s="1018"/>
      <c r="C57" s="1019"/>
      <c r="D57" s="1019"/>
      <c r="E57" s="1020"/>
      <c r="F57" s="1020"/>
      <c r="G57" s="1020"/>
      <c r="H57" s="1020"/>
      <c r="I57" s="1020"/>
      <c r="J57" s="1020"/>
      <c r="K57" s="1020"/>
      <c r="L57" s="1020"/>
      <c r="M57" s="1020"/>
      <c r="N57" s="1020"/>
      <c r="O57" s="1020"/>
    </row>
    <row r="58" spans="2:15">
      <c r="B58" s="1018"/>
      <c r="C58" s="1019"/>
      <c r="D58" s="1019"/>
      <c r="E58" s="1020"/>
      <c r="F58" s="1020"/>
      <c r="G58" s="1020"/>
      <c r="H58" s="1020"/>
      <c r="I58" s="1020"/>
      <c r="J58" s="1020"/>
      <c r="K58" s="1020"/>
      <c r="L58" s="1020"/>
      <c r="M58" s="1020"/>
      <c r="N58" s="1020"/>
      <c r="O58" s="1020"/>
    </row>
    <row r="59" spans="2:15">
      <c r="B59" s="1018"/>
      <c r="C59" s="1019"/>
      <c r="D59" s="1019"/>
      <c r="E59" s="1020"/>
      <c r="F59" s="1020"/>
      <c r="G59" s="1020"/>
      <c r="H59" s="1020"/>
      <c r="I59" s="1020"/>
      <c r="J59" s="1020"/>
      <c r="K59" s="1020"/>
      <c r="L59" s="1020"/>
      <c r="M59" s="1020"/>
      <c r="N59" s="1020"/>
      <c r="O59" s="1020"/>
    </row>
    <row r="60" spans="2:15">
      <c r="B60" s="1038"/>
      <c r="C60" s="1039"/>
      <c r="D60" s="1038"/>
      <c r="E60" s="1038"/>
      <c r="F60" s="1038"/>
      <c r="G60" s="1038"/>
      <c r="H60" s="1038"/>
      <c r="I60" s="1038"/>
      <c r="J60" s="1038"/>
      <c r="K60" s="1038"/>
      <c r="L60" s="1038"/>
      <c r="M60" s="1038"/>
      <c r="N60" s="1038"/>
      <c r="O60" s="1038"/>
    </row>
    <row r="61" spans="2:15" ht="15" customHeight="1">
      <c r="C61" s="1286" t="s">
        <v>2156</v>
      </c>
      <c r="D61" s="1286"/>
      <c r="E61" s="1286"/>
      <c r="F61" s="1286"/>
      <c r="G61" s="1286"/>
      <c r="H61" s="1286"/>
      <c r="I61" s="1286"/>
      <c r="J61" s="1286"/>
      <c r="K61" s="1286"/>
      <c r="L61" s="1286"/>
      <c r="M61" s="1286"/>
      <c r="N61" s="1286"/>
      <c r="O61" s="1286"/>
    </row>
  </sheetData>
  <sheetProtection password="E9D4" sheet="1" objects="1" scenarios="1"/>
  <mergeCells count="5">
    <mergeCell ref="C61:O61"/>
    <mergeCell ref="B6:B7"/>
    <mergeCell ref="C6:C7"/>
    <mergeCell ref="D6:O6"/>
    <mergeCell ref="L1:O1"/>
  </mergeCells>
  <dataValidations count="1">
    <dataValidation type="list" allowBlank="1" showInputMessage="1" showErrorMessage="1" sqref="H11:H59">
      <formula1>"Standard, Substandard, Doubtful, Dangerous, Bad"</formula1>
    </dataValidation>
  </dataValidations>
  <pageMargins left="0.13" right="0.15" top="0.19685039370078741" bottom="0.19685039370078741" header="0.11811023622047245" footer="0.11811023622047245"/>
  <pageSetup paperSize="9" scale="85" orientation="landscape" r:id="rId1"/>
</worksheet>
</file>

<file path=xl/worksheets/sheet51.xml><?xml version="1.0" encoding="utf-8"?>
<worksheet xmlns="http://schemas.openxmlformats.org/spreadsheetml/2006/main" xmlns:r="http://schemas.openxmlformats.org/officeDocument/2006/relationships">
  <sheetPr codeName="Лист53"/>
  <dimension ref="B1:I35"/>
  <sheetViews>
    <sheetView workbookViewId="0"/>
  </sheetViews>
  <sheetFormatPr defaultRowHeight="18"/>
  <cols>
    <col min="1" max="1" width="1.5703125" style="1021" customWidth="1"/>
    <col min="2" max="2" width="11.42578125" style="1021" bestFit="1" customWidth="1"/>
    <col min="3" max="3" width="57.7109375" style="1021" customWidth="1"/>
    <col min="4" max="7" width="20.7109375" style="1021" customWidth="1"/>
    <col min="8" max="8" width="21.7109375" style="1021" customWidth="1"/>
    <col min="9" max="9" width="19.7109375" style="1021" customWidth="1"/>
    <col min="10" max="16384" width="9.140625" style="1021"/>
  </cols>
  <sheetData>
    <row r="1" spans="2:9" ht="28.5" customHeight="1">
      <c r="B1" s="978"/>
      <c r="C1" s="977"/>
      <c r="D1" s="978"/>
      <c r="E1" s="978"/>
      <c r="F1" s="978"/>
      <c r="G1" s="978"/>
      <c r="H1" s="1295" t="s">
        <v>2275</v>
      </c>
      <c r="I1" s="1295"/>
    </row>
    <row r="2" spans="2:9">
      <c r="B2" s="978"/>
      <c r="C2" s="976" t="str">
        <f>T!E18</f>
        <v>Номгӯи ташкилоти қарзӣ</v>
      </c>
      <c r="D2" s="978"/>
      <c r="E2" s="978"/>
      <c r="F2" s="978"/>
      <c r="G2" s="978"/>
      <c r="H2" s="978"/>
      <c r="I2" s="978"/>
    </row>
    <row r="3" spans="2:9">
      <c r="B3" s="978"/>
      <c r="C3" s="977" t="str">
        <f>T!B10</f>
        <v>Ҳисобот дар санаи</v>
      </c>
      <c r="D3" s="978"/>
      <c r="E3" s="978"/>
      <c r="F3" s="978"/>
      <c r="G3" s="978"/>
      <c r="H3" s="978"/>
      <c r="I3" s="978"/>
    </row>
    <row r="4" spans="2:9">
      <c r="B4" s="980"/>
      <c r="C4" s="979" t="str">
        <f>'List of Scedules'!B50</f>
        <v>ҶАДВАЛИ 25.01. ГАРАВҲОИ БА ТАВОЗУН ГИРИФТАШУДА</v>
      </c>
      <c r="D4" s="979"/>
      <c r="E4" s="979"/>
      <c r="F4" s="979"/>
      <c r="G4" s="979"/>
      <c r="H4" s="979"/>
      <c r="I4" s="1022"/>
    </row>
    <row r="5" spans="2:9">
      <c r="B5" s="980"/>
      <c r="C5" s="980"/>
      <c r="D5" s="981"/>
      <c r="E5" s="981"/>
      <c r="F5" s="981"/>
      <c r="G5" s="981"/>
      <c r="H5" s="982"/>
      <c r="I5" s="982"/>
    </row>
    <row r="6" spans="2:9" s="1024" customFormat="1" ht="54" customHeight="1">
      <c r="B6" s="983"/>
      <c r="C6" s="984" t="s">
        <v>1659</v>
      </c>
      <c r="D6" s="984" t="s">
        <v>2161</v>
      </c>
      <c r="E6" s="984" t="s">
        <v>1684</v>
      </c>
      <c r="F6" s="984" t="s">
        <v>1097</v>
      </c>
      <c r="G6" s="984" t="s">
        <v>1750</v>
      </c>
      <c r="H6" s="984" t="s">
        <v>2344</v>
      </c>
      <c r="I6" s="1023" t="s">
        <v>2200</v>
      </c>
    </row>
    <row r="7" spans="2:9">
      <c r="B7" s="985"/>
      <c r="C7" s="986">
        <v>1</v>
      </c>
      <c r="D7" s="987">
        <v>2</v>
      </c>
      <c r="E7" s="987">
        <v>3</v>
      </c>
      <c r="F7" s="987">
        <v>4</v>
      </c>
      <c r="G7" s="987">
        <v>5</v>
      </c>
      <c r="H7" s="987">
        <v>9</v>
      </c>
      <c r="I7" s="987">
        <v>7</v>
      </c>
    </row>
    <row r="8" spans="2:9" ht="36">
      <c r="B8" s="988" t="s">
        <v>2170</v>
      </c>
      <c r="C8" s="1025" t="s">
        <v>2345</v>
      </c>
      <c r="D8" s="1026">
        <f t="shared" ref="D8:I8" si="0">SUM(D9:D14)</f>
        <v>0</v>
      </c>
      <c r="E8" s="1033">
        <f>SUM(E9:E14)</f>
        <v>0</v>
      </c>
      <c r="F8" s="1026">
        <f t="shared" si="0"/>
        <v>0</v>
      </c>
      <c r="G8" s="1026">
        <f t="shared" si="0"/>
        <v>0</v>
      </c>
      <c r="H8" s="1026">
        <f t="shared" si="0"/>
        <v>0</v>
      </c>
      <c r="I8" s="1026">
        <f t="shared" si="0"/>
        <v>0</v>
      </c>
    </row>
    <row r="9" spans="2:9">
      <c r="B9" s="988" t="s">
        <v>2171</v>
      </c>
      <c r="C9" s="1027" t="s">
        <v>2346</v>
      </c>
      <c r="D9" s="1026">
        <f t="shared" ref="D9:D14" si="1">SUM(E9:I9)</f>
        <v>0</v>
      </c>
      <c r="E9" s="992">
        <v>0</v>
      </c>
      <c r="F9" s="992">
        <v>0</v>
      </c>
      <c r="G9" s="992">
        <v>0</v>
      </c>
      <c r="H9" s="992">
        <v>0</v>
      </c>
      <c r="I9" s="992">
        <v>0</v>
      </c>
    </row>
    <row r="10" spans="2:9">
      <c r="B10" s="988" t="s">
        <v>2172</v>
      </c>
      <c r="C10" s="1027" t="s">
        <v>2347</v>
      </c>
      <c r="D10" s="1026">
        <f t="shared" si="1"/>
        <v>0</v>
      </c>
      <c r="E10" s="992">
        <v>0</v>
      </c>
      <c r="F10" s="992">
        <v>0</v>
      </c>
      <c r="G10" s="992">
        <v>0</v>
      </c>
      <c r="H10" s="992">
        <v>0</v>
      </c>
      <c r="I10" s="992">
        <v>0</v>
      </c>
    </row>
    <row r="11" spans="2:9">
      <c r="B11" s="988" t="s">
        <v>2173</v>
      </c>
      <c r="C11" s="1027" t="s">
        <v>2348</v>
      </c>
      <c r="D11" s="1026">
        <f t="shared" si="1"/>
        <v>0</v>
      </c>
      <c r="E11" s="992">
        <v>0</v>
      </c>
      <c r="F11" s="992">
        <v>0</v>
      </c>
      <c r="G11" s="992">
        <v>0</v>
      </c>
      <c r="H11" s="992">
        <v>0</v>
      </c>
      <c r="I11" s="992">
        <v>0</v>
      </c>
    </row>
    <row r="12" spans="2:9">
      <c r="B12" s="988" t="s">
        <v>2174</v>
      </c>
      <c r="C12" s="1027" t="s">
        <v>2349</v>
      </c>
      <c r="D12" s="1026">
        <f t="shared" si="1"/>
        <v>0</v>
      </c>
      <c r="E12" s="992">
        <v>0</v>
      </c>
      <c r="F12" s="992">
        <v>0</v>
      </c>
      <c r="G12" s="992">
        <v>0</v>
      </c>
      <c r="H12" s="992">
        <v>0</v>
      </c>
      <c r="I12" s="992">
        <v>0</v>
      </c>
    </row>
    <row r="13" spans="2:9">
      <c r="B13" s="988" t="s">
        <v>2175</v>
      </c>
      <c r="C13" s="1027" t="s">
        <v>2351</v>
      </c>
      <c r="D13" s="1026">
        <f t="shared" si="1"/>
        <v>0</v>
      </c>
      <c r="E13" s="992">
        <v>0</v>
      </c>
      <c r="F13" s="992">
        <v>0</v>
      </c>
      <c r="G13" s="992">
        <v>0</v>
      </c>
      <c r="H13" s="992">
        <v>0</v>
      </c>
      <c r="I13" s="992">
        <v>0</v>
      </c>
    </row>
    <row r="14" spans="2:9">
      <c r="B14" s="988" t="s">
        <v>2176</v>
      </c>
      <c r="C14" s="1027" t="s">
        <v>2350</v>
      </c>
      <c r="D14" s="1026">
        <f t="shared" si="1"/>
        <v>0</v>
      </c>
      <c r="E14" s="992">
        <v>0</v>
      </c>
      <c r="F14" s="992">
        <v>0</v>
      </c>
      <c r="G14" s="992">
        <v>0</v>
      </c>
      <c r="H14" s="992">
        <v>0</v>
      </c>
      <c r="I14" s="992">
        <v>0</v>
      </c>
    </row>
    <row r="15" spans="2:9" ht="36">
      <c r="B15" s="988" t="s">
        <v>2177</v>
      </c>
      <c r="C15" s="1025" t="s">
        <v>2352</v>
      </c>
      <c r="D15" s="1026">
        <f t="shared" ref="D15:I15" si="2">SUM(D16:D23)</f>
        <v>0</v>
      </c>
      <c r="E15" s="1033">
        <f t="shared" si="2"/>
        <v>0</v>
      </c>
      <c r="F15" s="1026">
        <f t="shared" si="2"/>
        <v>0</v>
      </c>
      <c r="G15" s="1026">
        <f t="shared" si="2"/>
        <v>0</v>
      </c>
      <c r="H15" s="1026">
        <f t="shared" si="2"/>
        <v>0</v>
      </c>
      <c r="I15" s="1026">
        <f t="shared" si="2"/>
        <v>0</v>
      </c>
    </row>
    <row r="16" spans="2:9">
      <c r="B16" s="988" t="s">
        <v>2178</v>
      </c>
      <c r="C16" s="1027" t="s">
        <v>2357</v>
      </c>
      <c r="D16" s="1033">
        <f>SUM(E16:I16)</f>
        <v>0</v>
      </c>
      <c r="E16" s="992">
        <v>0</v>
      </c>
      <c r="F16" s="992">
        <v>0</v>
      </c>
      <c r="G16" s="992">
        <v>0</v>
      </c>
      <c r="H16" s="992">
        <v>0</v>
      </c>
      <c r="I16" s="992">
        <v>0</v>
      </c>
    </row>
    <row r="17" spans="2:9">
      <c r="B17" s="988" t="s">
        <v>2179</v>
      </c>
      <c r="C17" s="1027" t="s">
        <v>2358</v>
      </c>
      <c r="D17" s="1026">
        <f t="shared" ref="D17:D23" si="3">SUM(E17:I17)</f>
        <v>0</v>
      </c>
      <c r="E17" s="992">
        <v>0</v>
      </c>
      <c r="F17" s="992">
        <v>0</v>
      </c>
      <c r="G17" s="992">
        <v>0</v>
      </c>
      <c r="H17" s="992">
        <v>0</v>
      </c>
      <c r="I17" s="992">
        <v>0</v>
      </c>
    </row>
    <row r="18" spans="2:9" ht="36">
      <c r="B18" s="988" t="s">
        <v>2180</v>
      </c>
      <c r="C18" s="1027" t="s">
        <v>2162</v>
      </c>
      <c r="D18" s="1026">
        <f t="shared" si="3"/>
        <v>0</v>
      </c>
      <c r="E18" s="992">
        <v>0</v>
      </c>
      <c r="F18" s="992">
        <v>0</v>
      </c>
      <c r="G18" s="992">
        <v>0</v>
      </c>
      <c r="H18" s="992">
        <v>0</v>
      </c>
      <c r="I18" s="992">
        <v>0</v>
      </c>
    </row>
    <row r="19" spans="2:9" ht="36">
      <c r="B19" s="988" t="s">
        <v>2181</v>
      </c>
      <c r="C19" s="1027" t="s">
        <v>2163</v>
      </c>
      <c r="D19" s="1026">
        <f t="shared" si="3"/>
        <v>0</v>
      </c>
      <c r="E19" s="992">
        <v>0</v>
      </c>
      <c r="F19" s="992">
        <v>0</v>
      </c>
      <c r="G19" s="992">
        <v>0</v>
      </c>
      <c r="H19" s="992">
        <v>0</v>
      </c>
      <c r="I19" s="992">
        <v>0</v>
      </c>
    </row>
    <row r="20" spans="2:9">
      <c r="B20" s="988" t="s">
        <v>2182</v>
      </c>
      <c r="C20" s="1027" t="s">
        <v>2360</v>
      </c>
      <c r="D20" s="1026">
        <f t="shared" si="3"/>
        <v>0</v>
      </c>
      <c r="E20" s="992">
        <v>0</v>
      </c>
      <c r="F20" s="992">
        <v>0</v>
      </c>
      <c r="G20" s="992">
        <v>0</v>
      </c>
      <c r="H20" s="992">
        <v>0</v>
      </c>
      <c r="I20" s="992">
        <v>0</v>
      </c>
    </row>
    <row r="21" spans="2:9">
      <c r="B21" s="988" t="s">
        <v>2183</v>
      </c>
      <c r="C21" s="1027" t="s">
        <v>2359</v>
      </c>
      <c r="D21" s="1026">
        <f t="shared" si="3"/>
        <v>0</v>
      </c>
      <c r="E21" s="992">
        <v>0</v>
      </c>
      <c r="F21" s="992">
        <v>0</v>
      </c>
      <c r="G21" s="992">
        <v>0</v>
      </c>
      <c r="H21" s="992">
        <v>0</v>
      </c>
      <c r="I21" s="992">
        <v>0</v>
      </c>
    </row>
    <row r="22" spans="2:9" ht="36">
      <c r="B22" s="988" t="s">
        <v>2184</v>
      </c>
      <c r="C22" s="1027" t="s">
        <v>2164</v>
      </c>
      <c r="D22" s="1026">
        <f t="shared" si="3"/>
        <v>0</v>
      </c>
      <c r="E22" s="992">
        <v>0</v>
      </c>
      <c r="F22" s="992">
        <v>0</v>
      </c>
      <c r="G22" s="992">
        <v>0</v>
      </c>
      <c r="H22" s="992">
        <v>0</v>
      </c>
      <c r="I22" s="992">
        <v>0</v>
      </c>
    </row>
    <row r="23" spans="2:9">
      <c r="B23" s="988" t="s">
        <v>2185</v>
      </c>
      <c r="C23" s="1027" t="s">
        <v>1768</v>
      </c>
      <c r="D23" s="1026">
        <f t="shared" si="3"/>
        <v>0</v>
      </c>
      <c r="E23" s="992">
        <v>0</v>
      </c>
      <c r="F23" s="992">
        <v>0</v>
      </c>
      <c r="G23" s="992">
        <v>0</v>
      </c>
      <c r="H23" s="992">
        <v>0</v>
      </c>
      <c r="I23" s="992">
        <v>0</v>
      </c>
    </row>
    <row r="24" spans="2:9">
      <c r="D24" s="1028"/>
      <c r="E24" s="1028"/>
      <c r="F24" s="1028"/>
      <c r="G24" s="1028"/>
      <c r="H24" s="1028"/>
      <c r="I24" s="1028"/>
    </row>
    <row r="25" spans="2:9">
      <c r="B25" s="1029"/>
      <c r="C25" s="1030" t="s">
        <v>2169</v>
      </c>
      <c r="D25" s="1031"/>
      <c r="E25" s="1028"/>
      <c r="F25" s="1028"/>
      <c r="G25" s="1028"/>
      <c r="H25" s="1028"/>
      <c r="I25" s="1028"/>
    </row>
    <row r="26" spans="2:9">
      <c r="B26" s="988" t="s">
        <v>2186</v>
      </c>
      <c r="C26" s="1032" t="s">
        <v>2119</v>
      </c>
      <c r="D26" s="992">
        <v>0</v>
      </c>
      <c r="E26" s="1028"/>
      <c r="F26" s="1028"/>
      <c r="G26" s="1028"/>
      <c r="H26" s="1028"/>
      <c r="I26" s="1028"/>
    </row>
    <row r="27" spans="2:9">
      <c r="B27" s="988" t="s">
        <v>2187</v>
      </c>
      <c r="C27" s="1032" t="s">
        <v>2120</v>
      </c>
      <c r="D27" s="1033">
        <f>SUM(D28:D31)</f>
        <v>0</v>
      </c>
      <c r="E27" s="1028"/>
      <c r="F27" s="1028"/>
      <c r="G27" s="1028"/>
      <c r="H27" s="1028"/>
      <c r="I27" s="1028"/>
    </row>
    <row r="28" spans="2:9">
      <c r="B28" s="988" t="s">
        <v>2188</v>
      </c>
      <c r="C28" s="1034" t="s">
        <v>2165</v>
      </c>
      <c r="D28" s="992">
        <v>0</v>
      </c>
      <c r="E28" s="1028"/>
      <c r="F28" s="1028"/>
      <c r="G28" s="1028"/>
      <c r="H28" s="1028"/>
      <c r="I28" s="1028"/>
    </row>
    <row r="29" spans="2:9">
      <c r="B29" s="988" t="s">
        <v>2189</v>
      </c>
      <c r="C29" s="1034" t="s">
        <v>2166</v>
      </c>
      <c r="D29" s="992">
        <v>0</v>
      </c>
      <c r="E29" s="1028"/>
      <c r="F29" s="1028"/>
      <c r="G29" s="1028"/>
      <c r="H29" s="1028"/>
      <c r="I29" s="1028"/>
    </row>
    <row r="30" spans="2:9">
      <c r="B30" s="988" t="s">
        <v>2190</v>
      </c>
      <c r="C30" s="1034" t="s">
        <v>2353</v>
      </c>
      <c r="D30" s="992">
        <v>0</v>
      </c>
      <c r="E30" s="1028"/>
      <c r="F30" s="1028"/>
      <c r="G30" s="1028"/>
      <c r="H30" s="1028"/>
      <c r="I30" s="1028"/>
    </row>
    <row r="31" spans="2:9">
      <c r="B31" s="988" t="s">
        <v>2191</v>
      </c>
      <c r="C31" s="1034" t="s">
        <v>1768</v>
      </c>
      <c r="D31" s="992">
        <v>0</v>
      </c>
      <c r="E31" s="1028"/>
      <c r="F31" s="1028"/>
      <c r="G31" s="1028"/>
      <c r="H31" s="1028"/>
      <c r="I31" s="1028"/>
    </row>
    <row r="32" spans="2:9">
      <c r="B32" s="988" t="s">
        <v>2192</v>
      </c>
      <c r="C32" s="1032" t="s">
        <v>2121</v>
      </c>
      <c r="D32" s="1026">
        <f>SUM(D33:D34)</f>
        <v>0</v>
      </c>
      <c r="E32" s="1028"/>
      <c r="F32" s="1028"/>
      <c r="G32" s="1028"/>
      <c r="H32" s="1028"/>
      <c r="I32" s="1028"/>
    </row>
    <row r="33" spans="2:9">
      <c r="B33" s="988" t="s">
        <v>2193</v>
      </c>
      <c r="C33" s="1027" t="s">
        <v>2290</v>
      </c>
      <c r="D33" s="992">
        <v>0</v>
      </c>
      <c r="E33" s="1028"/>
      <c r="F33" s="1028"/>
      <c r="G33" s="1028"/>
      <c r="H33" s="1028"/>
      <c r="I33" s="1028"/>
    </row>
    <row r="34" spans="2:9">
      <c r="B34" s="988" t="s">
        <v>2194</v>
      </c>
      <c r="C34" s="1034" t="s">
        <v>1768</v>
      </c>
      <c r="D34" s="992">
        <v>0</v>
      </c>
      <c r="E34" s="1028"/>
      <c r="F34" s="1028"/>
      <c r="G34" s="1028"/>
      <c r="H34" s="1028"/>
      <c r="I34" s="1028"/>
    </row>
    <row r="35" spans="2:9">
      <c r="B35" s="988" t="s">
        <v>2195</v>
      </c>
      <c r="C35" s="1032" t="s">
        <v>2122</v>
      </c>
      <c r="D35" s="1026">
        <f>D26-D27+D32</f>
        <v>0</v>
      </c>
      <c r="E35" s="1028"/>
      <c r="F35" s="1028"/>
      <c r="G35" s="1028"/>
      <c r="H35" s="1028"/>
      <c r="I35" s="1028"/>
    </row>
  </sheetData>
  <sheetProtection password="E9D4" sheet="1" objects="1" scenarios="1"/>
  <mergeCells count="1">
    <mergeCell ref="H1:I1"/>
  </mergeCells>
  <pageMargins left="0.13" right="0.15" top="0.28000000000000003" bottom="0.19685039370078741" header="0.11811023622047245" footer="0.11811023622047245"/>
  <pageSetup paperSize="9" scale="75" orientation="landscape" r:id="rId1"/>
</worksheet>
</file>

<file path=xl/worksheets/sheet52.xml><?xml version="1.0" encoding="utf-8"?>
<worksheet xmlns="http://schemas.openxmlformats.org/spreadsheetml/2006/main" xmlns:r="http://schemas.openxmlformats.org/officeDocument/2006/relationships">
  <sheetPr codeName="Лист44"/>
  <dimension ref="A1:D50"/>
  <sheetViews>
    <sheetView topLeftCell="A41" workbookViewId="0"/>
  </sheetViews>
  <sheetFormatPr defaultRowHeight="12.75"/>
  <cols>
    <col min="1" max="1" width="7.7109375" style="2" bestFit="1" customWidth="1"/>
    <col min="2" max="2" width="99.140625" style="3" customWidth="1"/>
    <col min="3" max="3" width="4.7109375" style="829" customWidth="1"/>
    <col min="4" max="4" width="83.5703125" style="1" bestFit="1" customWidth="1"/>
    <col min="5" max="16384" width="9.140625" style="1"/>
  </cols>
  <sheetData>
    <row r="1" spans="1:4" ht="15">
      <c r="A1" s="766" t="s">
        <v>419</v>
      </c>
      <c r="B1" s="216"/>
      <c r="C1" s="800"/>
      <c r="D1" s="216"/>
    </row>
    <row r="2" spans="1:4" ht="15">
      <c r="A2" s="766" t="s">
        <v>124</v>
      </c>
      <c r="B2" s="216"/>
      <c r="C2" s="800"/>
      <c r="D2" s="216"/>
    </row>
    <row r="3" spans="1:4" ht="15">
      <c r="A3" s="766" t="s">
        <v>420</v>
      </c>
      <c r="B3" s="216"/>
      <c r="C3" s="800"/>
      <c r="D3" s="216"/>
    </row>
    <row r="4" spans="1:4" ht="15">
      <c r="A4" s="766" t="s">
        <v>421</v>
      </c>
      <c r="B4" s="216"/>
      <c r="C4" s="800"/>
      <c r="D4" s="216"/>
    </row>
    <row r="5" spans="1:4" ht="15">
      <c r="A5" s="766" t="s">
        <v>383</v>
      </c>
      <c r="B5" s="216" t="s">
        <v>1049</v>
      </c>
      <c r="C5" s="800">
        <v>5</v>
      </c>
      <c r="D5" s="216" t="s">
        <v>354</v>
      </c>
    </row>
    <row r="6" spans="1:4" ht="15">
      <c r="A6" s="766" t="s">
        <v>384</v>
      </c>
      <c r="B6" s="216" t="s">
        <v>1050</v>
      </c>
      <c r="C6" s="800">
        <v>6</v>
      </c>
      <c r="D6" s="216" t="s">
        <v>355</v>
      </c>
    </row>
    <row r="7" spans="1:4" ht="15">
      <c r="A7" s="766" t="s">
        <v>385</v>
      </c>
      <c r="B7" s="216" t="s">
        <v>1051</v>
      </c>
      <c r="C7" s="800">
        <v>7</v>
      </c>
      <c r="D7" s="216" t="s">
        <v>356</v>
      </c>
    </row>
    <row r="8" spans="1:4" ht="15">
      <c r="A8" s="766" t="s">
        <v>386</v>
      </c>
      <c r="B8" s="216" t="s">
        <v>1052</v>
      </c>
      <c r="C8" s="800">
        <v>8</v>
      </c>
      <c r="D8" s="216" t="s">
        <v>357</v>
      </c>
    </row>
    <row r="9" spans="1:4" ht="15">
      <c r="A9" s="766" t="s">
        <v>387</v>
      </c>
      <c r="B9" s="216" t="s">
        <v>1053</v>
      </c>
      <c r="C9" s="800">
        <v>9</v>
      </c>
      <c r="D9" s="216" t="s">
        <v>358</v>
      </c>
    </row>
    <row r="10" spans="1:4" ht="15">
      <c r="A10" s="766" t="s">
        <v>388</v>
      </c>
      <c r="B10" s="216" t="s">
        <v>837</v>
      </c>
      <c r="C10" s="800">
        <v>12</v>
      </c>
      <c r="D10" s="216" t="s">
        <v>359</v>
      </c>
    </row>
    <row r="11" spans="1:4" ht="15">
      <c r="A11" s="766" t="s">
        <v>389</v>
      </c>
      <c r="B11" s="216" t="s">
        <v>838</v>
      </c>
      <c r="C11" s="800">
        <v>13</v>
      </c>
      <c r="D11" s="216" t="s">
        <v>360</v>
      </c>
    </row>
    <row r="12" spans="1:4" ht="15">
      <c r="A12" s="766" t="s">
        <v>390</v>
      </c>
      <c r="B12" s="216" t="s">
        <v>1063</v>
      </c>
      <c r="C12" s="800">
        <v>14</v>
      </c>
      <c r="D12" s="216" t="s">
        <v>361</v>
      </c>
    </row>
    <row r="13" spans="1:4" ht="15">
      <c r="A13" s="766" t="s">
        <v>391</v>
      </c>
      <c r="B13" s="216" t="s">
        <v>1092</v>
      </c>
      <c r="C13" s="800">
        <v>15</v>
      </c>
      <c r="D13" s="216" t="s">
        <v>177</v>
      </c>
    </row>
    <row r="14" spans="1:4" ht="15">
      <c r="A14" s="766" t="s">
        <v>392</v>
      </c>
      <c r="B14" s="216" t="s">
        <v>1095</v>
      </c>
      <c r="C14" s="800">
        <v>16</v>
      </c>
      <c r="D14" s="216" t="s">
        <v>178</v>
      </c>
    </row>
    <row r="15" spans="1:4" ht="15">
      <c r="A15" s="766" t="s">
        <v>393</v>
      </c>
      <c r="B15" s="216" t="s">
        <v>1096</v>
      </c>
      <c r="C15" s="800">
        <v>17</v>
      </c>
      <c r="D15" s="216" t="s">
        <v>362</v>
      </c>
    </row>
    <row r="16" spans="1:4" ht="15">
      <c r="A16" s="766" t="s">
        <v>394</v>
      </c>
      <c r="B16" s="216" t="s">
        <v>1099</v>
      </c>
      <c r="C16" s="800">
        <v>18</v>
      </c>
      <c r="D16" s="216" t="s">
        <v>363</v>
      </c>
    </row>
    <row r="17" spans="1:4" ht="15">
      <c r="A17" s="766" t="s">
        <v>395</v>
      </c>
      <c r="B17" s="216" t="s">
        <v>1100</v>
      </c>
      <c r="C17" s="800">
        <v>19</v>
      </c>
      <c r="D17" s="216" t="s">
        <v>364</v>
      </c>
    </row>
    <row r="18" spans="1:4" ht="15">
      <c r="A18" s="766" t="s">
        <v>396</v>
      </c>
      <c r="B18" s="216" t="s">
        <v>845</v>
      </c>
      <c r="C18" s="800">
        <v>20</v>
      </c>
      <c r="D18" s="216" t="s">
        <v>365</v>
      </c>
    </row>
    <row r="19" spans="1:4" ht="15">
      <c r="A19" s="766" t="s">
        <v>397</v>
      </c>
      <c r="B19" s="216" t="s">
        <v>839</v>
      </c>
      <c r="C19" s="800">
        <v>21</v>
      </c>
      <c r="D19" s="216" t="s">
        <v>366</v>
      </c>
    </row>
    <row r="20" spans="1:4" ht="15">
      <c r="A20" s="766" t="s">
        <v>398</v>
      </c>
      <c r="B20" s="216" t="s">
        <v>1845</v>
      </c>
      <c r="C20" s="800">
        <v>22</v>
      </c>
      <c r="D20" s="216" t="s">
        <v>367</v>
      </c>
    </row>
    <row r="21" spans="1:4" ht="15">
      <c r="A21" s="766" t="s">
        <v>399</v>
      </c>
      <c r="B21" s="216" t="s">
        <v>1102</v>
      </c>
      <c r="C21" s="800">
        <v>23</v>
      </c>
      <c r="D21" s="216" t="s">
        <v>368</v>
      </c>
    </row>
    <row r="22" spans="1:4" ht="15">
      <c r="A22" s="766" t="s">
        <v>400</v>
      </c>
      <c r="B22" s="216" t="s">
        <v>1103</v>
      </c>
      <c r="C22" s="800">
        <v>24</v>
      </c>
      <c r="D22" s="216" t="s">
        <v>369</v>
      </c>
    </row>
    <row r="23" spans="1:4" ht="15">
      <c r="A23" s="766" t="s">
        <v>401</v>
      </c>
      <c r="B23" s="216" t="s">
        <v>1843</v>
      </c>
      <c r="C23" s="800">
        <v>25</v>
      </c>
      <c r="D23" s="216" t="s">
        <v>370</v>
      </c>
    </row>
    <row r="24" spans="1:4" ht="15">
      <c r="A24" s="766" t="s">
        <v>402</v>
      </c>
      <c r="B24" s="216" t="s">
        <v>1844</v>
      </c>
      <c r="C24" s="800">
        <v>26</v>
      </c>
      <c r="D24" s="216" t="s">
        <v>370</v>
      </c>
    </row>
    <row r="25" spans="1:4" ht="15">
      <c r="A25" s="766" t="s">
        <v>403</v>
      </c>
      <c r="B25" s="216" t="s">
        <v>1107</v>
      </c>
      <c r="C25" s="800">
        <v>27</v>
      </c>
      <c r="D25" s="216" t="s">
        <v>371</v>
      </c>
    </row>
    <row r="26" spans="1:4" ht="15">
      <c r="A26" s="766" t="s">
        <v>404</v>
      </c>
      <c r="B26" s="216" t="s">
        <v>1108</v>
      </c>
      <c r="C26" s="800">
        <v>28</v>
      </c>
      <c r="D26" s="216" t="s">
        <v>371</v>
      </c>
    </row>
    <row r="27" spans="1:4" ht="15">
      <c r="A27" s="766" t="s">
        <v>405</v>
      </c>
      <c r="B27" s="216" t="s">
        <v>1111</v>
      </c>
      <c r="C27" s="800">
        <v>29</v>
      </c>
      <c r="D27" s="216" t="s">
        <v>372</v>
      </c>
    </row>
    <row r="28" spans="1:4" ht="15">
      <c r="A28" s="766" t="s">
        <v>406</v>
      </c>
      <c r="B28" s="216" t="s">
        <v>1112</v>
      </c>
      <c r="C28" s="800">
        <v>30</v>
      </c>
      <c r="D28" s="216" t="s">
        <v>372</v>
      </c>
    </row>
    <row r="29" spans="1:4" ht="15">
      <c r="A29" s="766" t="s">
        <v>912</v>
      </c>
      <c r="B29" s="216" t="s">
        <v>1113</v>
      </c>
      <c r="C29" s="800">
        <v>31</v>
      </c>
      <c r="D29" s="216" t="s">
        <v>372</v>
      </c>
    </row>
    <row r="30" spans="1:4" ht="15">
      <c r="A30" s="766" t="s">
        <v>407</v>
      </c>
      <c r="B30" s="216" t="s">
        <v>840</v>
      </c>
      <c r="C30" s="800">
        <v>32</v>
      </c>
      <c r="D30" s="216" t="s">
        <v>373</v>
      </c>
    </row>
    <row r="31" spans="1:4" ht="15">
      <c r="A31" s="766" t="s">
        <v>408</v>
      </c>
      <c r="B31" s="216" t="s">
        <v>1146</v>
      </c>
      <c r="C31" s="800">
        <v>33</v>
      </c>
      <c r="D31" s="216" t="s">
        <v>374</v>
      </c>
    </row>
    <row r="32" spans="1:4" ht="15">
      <c r="A32" s="766" t="s">
        <v>409</v>
      </c>
      <c r="B32" s="216" t="s">
        <v>1147</v>
      </c>
      <c r="C32" s="800">
        <v>34</v>
      </c>
      <c r="D32" s="216" t="s">
        <v>374</v>
      </c>
    </row>
    <row r="33" spans="1:4" ht="15">
      <c r="A33" s="766" t="s">
        <v>410</v>
      </c>
      <c r="B33" s="216" t="s">
        <v>1148</v>
      </c>
      <c r="C33" s="800">
        <v>35</v>
      </c>
      <c r="D33" s="216" t="s">
        <v>374</v>
      </c>
    </row>
    <row r="34" spans="1:4" ht="15">
      <c r="A34" s="766" t="s">
        <v>411</v>
      </c>
      <c r="B34" s="216" t="s">
        <v>1149</v>
      </c>
      <c r="C34" s="800">
        <v>36</v>
      </c>
      <c r="D34" s="216" t="s">
        <v>375</v>
      </c>
    </row>
    <row r="35" spans="1:4" ht="15">
      <c r="A35" s="766" t="s">
        <v>412</v>
      </c>
      <c r="B35" s="216" t="s">
        <v>1150</v>
      </c>
      <c r="C35" s="800">
        <v>37</v>
      </c>
      <c r="D35" s="216" t="s">
        <v>376</v>
      </c>
    </row>
    <row r="36" spans="1:4" ht="15">
      <c r="A36" s="766" t="s">
        <v>413</v>
      </c>
      <c r="B36" s="216" t="s">
        <v>841</v>
      </c>
      <c r="C36" s="800">
        <v>38</v>
      </c>
      <c r="D36" s="216" t="s">
        <v>377</v>
      </c>
    </row>
    <row r="37" spans="1:4" ht="15">
      <c r="A37" s="766" t="s">
        <v>414</v>
      </c>
      <c r="B37" s="216" t="s">
        <v>842</v>
      </c>
      <c r="C37" s="800">
        <v>39</v>
      </c>
      <c r="D37" s="216" t="s">
        <v>378</v>
      </c>
    </row>
    <row r="38" spans="1:4" ht="15">
      <c r="A38" s="766" t="s">
        <v>415</v>
      </c>
      <c r="B38" s="216" t="s">
        <v>843</v>
      </c>
      <c r="C38" s="800">
        <v>40</v>
      </c>
      <c r="D38" s="216" t="s">
        <v>379</v>
      </c>
    </row>
    <row r="39" spans="1:4" ht="15">
      <c r="A39" s="766" t="s">
        <v>416</v>
      </c>
      <c r="B39" s="216" t="s">
        <v>844</v>
      </c>
      <c r="C39" s="800">
        <v>41</v>
      </c>
      <c r="D39" s="216" t="s">
        <v>380</v>
      </c>
    </row>
    <row r="40" spans="1:4" ht="15">
      <c r="A40" s="766" t="s">
        <v>417</v>
      </c>
      <c r="B40" s="216" t="s">
        <v>1159</v>
      </c>
      <c r="C40" s="800">
        <v>42</v>
      </c>
      <c r="D40" s="216" t="s">
        <v>381</v>
      </c>
    </row>
    <row r="41" spans="1:4" ht="15">
      <c r="A41" s="766" t="s">
        <v>418</v>
      </c>
      <c r="B41" s="216" t="s">
        <v>1160</v>
      </c>
      <c r="C41" s="800">
        <v>43</v>
      </c>
      <c r="D41" s="216" t="s">
        <v>382</v>
      </c>
    </row>
    <row r="42" spans="1:4" ht="15">
      <c r="A42" s="766" t="s">
        <v>1023</v>
      </c>
      <c r="B42" s="216" t="s">
        <v>2319</v>
      </c>
      <c r="C42" s="800">
        <v>44</v>
      </c>
      <c r="D42" s="216" t="s">
        <v>1019</v>
      </c>
    </row>
    <row r="43" spans="1:4" ht="15">
      <c r="A43" s="990" t="s">
        <v>2304</v>
      </c>
      <c r="B43" s="925" t="s">
        <v>2333</v>
      </c>
      <c r="C43" s="991">
        <v>45</v>
      </c>
      <c r="D43" s="925"/>
    </row>
    <row r="44" spans="1:4" ht="15">
      <c r="A44" s="990" t="s">
        <v>2087</v>
      </c>
      <c r="B44" s="925" t="s">
        <v>2321</v>
      </c>
      <c r="C44" s="991">
        <v>46</v>
      </c>
      <c r="D44" s="216"/>
    </row>
    <row r="45" spans="1:4" ht="15">
      <c r="A45" s="990" t="s">
        <v>2123</v>
      </c>
      <c r="B45" s="925" t="s">
        <v>2322</v>
      </c>
      <c r="C45" s="991">
        <v>47</v>
      </c>
      <c r="D45" s="925"/>
    </row>
    <row r="46" spans="1:4" ht="15">
      <c r="A46" s="990" t="s">
        <v>2143</v>
      </c>
      <c r="B46" s="925" t="s">
        <v>2335</v>
      </c>
      <c r="C46" s="991">
        <v>49</v>
      </c>
      <c r="D46" s="216"/>
    </row>
    <row r="47" spans="1:4" ht="15">
      <c r="A47" s="990" t="s">
        <v>2158</v>
      </c>
      <c r="B47" s="925" t="s">
        <v>2157</v>
      </c>
      <c r="C47" s="991">
        <v>50</v>
      </c>
      <c r="D47" s="925"/>
    </row>
    <row r="48" spans="1:4" ht="15">
      <c r="A48" s="990" t="s">
        <v>2159</v>
      </c>
      <c r="B48" s="925" t="s">
        <v>2323</v>
      </c>
      <c r="C48" s="991">
        <v>51</v>
      </c>
      <c r="D48" s="925"/>
    </row>
    <row r="49" spans="1:4" ht="15">
      <c r="A49" s="990" t="s">
        <v>2160</v>
      </c>
      <c r="B49" s="925" t="s">
        <v>2343</v>
      </c>
      <c r="C49" s="991">
        <v>52</v>
      </c>
      <c r="D49" s="925"/>
    </row>
    <row r="50" spans="1:4" ht="15">
      <c r="A50" s="990" t="s">
        <v>2167</v>
      </c>
      <c r="B50" s="925" t="s">
        <v>2168</v>
      </c>
      <c r="C50" s="991">
        <v>53</v>
      </c>
      <c r="D50" s="925"/>
    </row>
  </sheetData>
  <customSheetViews>
    <customSheetView guid="{871F8275-217B-436F-8813-871F820F0EE4}" scale="50" showPageBreaks="1" view="pageBreakPreview">
      <selection activeCell="D16" sqref="D16"/>
      <pageMargins left="0.39" right="0.74803149606299213" top="0.51181102362204722" bottom="0.51181102362204722" header="0.51181102362204722" footer="0.51181102362204722"/>
      <pageSetup paperSize="9" scale="70" orientation="landscape" r:id="rId1"/>
      <headerFooter alignWithMargins="0"/>
    </customSheetView>
    <customSheetView guid="{2EBF18CB-80C9-43ED-A978-2AAEAC40933E}" showRuler="0">
      <selection activeCell="B19" sqref="B19"/>
      <pageMargins left="0.75" right="0.75" top="1" bottom="1" header="0.5" footer="0.5"/>
      <pageSetup paperSize="9" scale="49" orientation="portrait" r:id="rId2"/>
      <headerFooter alignWithMargins="0"/>
    </customSheetView>
    <customSheetView guid="{47D3AB49-9599-4A16-951B-F48FEC1C0136}" topLeftCell="A7">
      <selection activeCell="D7" sqref="D7"/>
      <pageMargins left="0.75" right="0.75" top="1" bottom="1" header="0.5" footer="0.5"/>
      <pageSetup paperSize="9" scale="49" orientation="portrait" r:id="rId3"/>
      <headerFooter alignWithMargins="0"/>
    </customSheetView>
    <customSheetView guid="{ECE607A2-8A26-46E0-8BDC-E9AD788F604C}" scale="50" showPageBreaks="1" view="pageBreakPreview">
      <selection activeCell="D3" sqref="D3"/>
      <pageMargins left="0.39" right="0.74803149606299213" top="0.51181102362204722" bottom="0.51181102362204722" header="0.51181102362204722" footer="0.51181102362204722"/>
      <pageSetup paperSize="9" scale="70" orientation="landscape" r:id="rId4"/>
      <headerFooter alignWithMargins="0"/>
    </customSheetView>
    <customSheetView guid="{FB1E0752-409C-4E7D-BCFE-7AEBEB8B5F0D}" scale="50" showPageBreaks="1" view="pageBreakPreview">
      <selection activeCell="D16" sqref="D16"/>
      <pageMargins left="0.39" right="0.74803149606299213" top="0.51181102362204722" bottom="0.51181102362204722" header="0.51181102362204722" footer="0.51181102362204722"/>
      <pageSetup paperSize="9" scale="70" orientation="landscape" r:id="rId5"/>
      <headerFooter alignWithMargins="0"/>
    </customSheetView>
  </customSheetViews>
  <phoneticPr fontId="0" type="noConversion"/>
  <pageMargins left="0.39" right="0.74803149606299213" top="0.51181102362204722" bottom="0.51181102362204722" header="0.51181102362204722" footer="0.51181102362204722"/>
  <pageSetup paperSize="9" scale="70" orientation="landscape" r:id="rId6"/>
  <headerFooter alignWithMargins="0"/>
</worksheet>
</file>

<file path=xl/worksheets/sheet53.xml><?xml version="1.0" encoding="utf-8"?>
<worksheet xmlns="http://schemas.openxmlformats.org/spreadsheetml/2006/main" xmlns:r="http://schemas.openxmlformats.org/officeDocument/2006/relationships">
  <sheetPr codeName="Лист45">
    <tabColor rgb="FF7030A0"/>
  </sheetPr>
  <dimension ref="A1:K246"/>
  <sheetViews>
    <sheetView zoomScale="85" zoomScaleNormal="85" workbookViewId="0">
      <selection activeCell="D55" sqref="D55"/>
    </sheetView>
  </sheetViews>
  <sheetFormatPr defaultRowHeight="12.75"/>
  <cols>
    <col min="2" max="2" width="127.85546875" customWidth="1"/>
    <col min="3" max="3" width="9.140625" style="1088" customWidth="1"/>
    <col min="4" max="4" width="9.28515625" bestFit="1" customWidth="1"/>
    <col min="5" max="6" width="11.140625" bestFit="1" customWidth="1"/>
    <col min="7" max="7" width="11.28515625" bestFit="1" customWidth="1"/>
    <col min="8" max="8" width="38.85546875" customWidth="1"/>
    <col min="9" max="9" width="11.28515625" bestFit="1" customWidth="1"/>
    <col min="10" max="10" width="10.85546875" bestFit="1" customWidth="1"/>
    <col min="11" max="11" width="11.85546875" bestFit="1" customWidth="1"/>
  </cols>
  <sheetData>
    <row r="1" spans="1:5" ht="21" customHeight="1">
      <c r="A1" s="1296" t="s">
        <v>2609</v>
      </c>
      <c r="B1" s="1296"/>
      <c r="C1" s="1296"/>
      <c r="D1" s="1296"/>
    </row>
    <row r="2" spans="1:5" ht="18">
      <c r="A2" s="1114"/>
      <c r="B2" s="1115" t="str">
        <f>IF(C2&gt;0,"Количество обнаруженных несоответствий","Несоответсвий не обнаружено")</f>
        <v>Количество обнаруженных несоответствий</v>
      </c>
      <c r="C2" s="1116">
        <f>SUM(C3:C246)</f>
        <v>2</v>
      </c>
      <c r="D2" s="1117"/>
    </row>
    <row r="3" spans="1:5" ht="36">
      <c r="A3" s="1118">
        <v>1</v>
      </c>
      <c r="B3" s="1119" t="s">
        <v>2608</v>
      </c>
      <c r="C3" s="1120">
        <f>IF(D3=FALSE,0,1)</f>
        <v>0</v>
      </c>
      <c r="D3" s="1121" t="b">
        <f>BA01.01!D14&lt;&gt;CA15.01!D16+CA15.01!D17+CA15.01!D18</f>
        <v>0</v>
      </c>
      <c r="E3" s="1106"/>
    </row>
    <row r="4" spans="1:5" ht="36">
      <c r="A4" s="1118">
        <v>2</v>
      </c>
      <c r="B4" s="1119" t="s">
        <v>2365</v>
      </c>
      <c r="C4" s="1120">
        <f t="shared" ref="C4:C67" si="0">IF(D4=FALSE,0,1)</f>
        <v>0</v>
      </c>
      <c r="D4" s="1121" t="b">
        <f>BA01.01!D40&lt;&gt;SI04.01!D10+SI04.01!D36</f>
        <v>0</v>
      </c>
    </row>
    <row r="5" spans="1:5" ht="72">
      <c r="A5" s="1118">
        <v>3</v>
      </c>
      <c r="B5" s="1119" t="s">
        <v>2366</v>
      </c>
      <c r="C5" s="1120">
        <f t="shared" si="0"/>
        <v>0</v>
      </c>
      <c r="D5" s="1121" t="b">
        <f>BA01.01!E41&lt;&gt;SI04.01!E20+SI04.01!E21+SI04.01!E27+SI04.01!E28+SI04.01!E46+SI04.01!E47+SI04.01!E53+SI04.01!E54</f>
        <v>0</v>
      </c>
    </row>
    <row r="6" spans="1:5" ht="72">
      <c r="A6" s="1118">
        <v>4</v>
      </c>
      <c r="B6" s="1119" t="s">
        <v>2367</v>
      </c>
      <c r="C6" s="1120">
        <f t="shared" si="0"/>
        <v>0</v>
      </c>
      <c r="D6" s="1121" t="b">
        <f>BA01.01!D41&lt;&gt;SI04.01!D20+SI04.01!D21+SI04.01!D27+SI04.01!D28+SI04.01!D46+SI04.01!D47+SI04.01!D53+SI04.01!D54</f>
        <v>0</v>
      </c>
    </row>
    <row r="7" spans="1:5" ht="54">
      <c r="A7" s="1118">
        <v>5</v>
      </c>
      <c r="B7" s="1119" t="s">
        <v>2368</v>
      </c>
      <c r="C7" s="1120">
        <f t="shared" si="0"/>
        <v>0</v>
      </c>
      <c r="D7" s="1121" t="b">
        <f>BA01.01!E42&lt;&gt;SI04.01!E22+SI04.01!E29+SI04.01!E48+SI04.01!E55</f>
        <v>0</v>
      </c>
    </row>
    <row r="8" spans="1:5" ht="54">
      <c r="A8" s="1118">
        <v>6</v>
      </c>
      <c r="B8" s="1119" t="s">
        <v>2369</v>
      </c>
      <c r="C8" s="1120">
        <f t="shared" si="0"/>
        <v>0</v>
      </c>
      <c r="D8" s="1121" t="b">
        <f>BA01.01!D42&lt;&gt;SI04.01!D22+SI04.01!D29+SI04.01!D48+SI04.01!D55</f>
        <v>0</v>
      </c>
    </row>
    <row r="9" spans="1:5" ht="54">
      <c r="A9" s="1118">
        <v>7</v>
      </c>
      <c r="B9" s="1119" t="s">
        <v>2370</v>
      </c>
      <c r="C9" s="1120">
        <f t="shared" si="0"/>
        <v>0</v>
      </c>
      <c r="D9" s="1121" t="b">
        <f>BA01.01!E43&lt;&gt;SI04.01!E11+SI04.01!E12+SI04.01!E37+SI04.01!E38</f>
        <v>0</v>
      </c>
    </row>
    <row r="10" spans="1:5" ht="54">
      <c r="A10" s="1118">
        <v>8</v>
      </c>
      <c r="B10" s="1119" t="s">
        <v>2371</v>
      </c>
      <c r="C10" s="1120">
        <f t="shared" si="0"/>
        <v>0</v>
      </c>
      <c r="D10" s="1121" t="b">
        <f>BA01.01!D43&lt;&gt;SI04.01!D11+SI04.01!D12+SI04.01!D37+SI04.01!D38</f>
        <v>0</v>
      </c>
    </row>
    <row r="11" spans="1:5" ht="144">
      <c r="A11" s="1118">
        <v>9</v>
      </c>
      <c r="B11" s="1119" t="s">
        <v>2372</v>
      </c>
      <c r="C11" s="1120">
        <f t="shared" si="0"/>
        <v>0</v>
      </c>
      <c r="D11" s="1121" t="b">
        <f>BA01.01!E44&lt;&gt;SI04.01!E13+SI04.01!E14+SI04.01!E15+SI04.01!E16+SI04.01!E17+SI04.01!E18+SI04.01!E19+SI04.01!E26+SI04.01!E30+SI04.01!E31+SI04.01!E39+SI04.01!E40+SI04.01!E41+SI04.01!E42+SI04.01!E43+SI04.01!E44+SI04.01!E45+SI04.01!E52+SI04.01!E56+SI04.01!E57</f>
        <v>0</v>
      </c>
    </row>
    <row r="12" spans="1:5" ht="144">
      <c r="A12" s="1118">
        <v>10</v>
      </c>
      <c r="B12" s="1119" t="s">
        <v>2373</v>
      </c>
      <c r="C12" s="1120">
        <f t="shared" si="0"/>
        <v>0</v>
      </c>
      <c r="D12" s="1121" t="b">
        <f>BA01.01!D44&lt;&gt;SI04.01!D13+SI04.01!D14+SI04.01!D15+SI04.01!D16+SI04.01!D17+SI04.01!D18+SI04.01!D19+SI04.01!D26+SI04.01!D30+SI04.01!D31+SI04.01!D39+SI04.01!D40+SI04.01!D41+SI04.01!D42+SI04.01!D43+SI04.01!D44+SI04.01!D45+SI04.01!D52+SI04.01!D56+SI04.01!D57</f>
        <v>0</v>
      </c>
    </row>
    <row r="13" spans="1:5" ht="36">
      <c r="A13" s="1118">
        <v>11</v>
      </c>
      <c r="B13" s="1119" t="s">
        <v>2374</v>
      </c>
      <c r="C13" s="1120">
        <f t="shared" si="0"/>
        <v>0</v>
      </c>
      <c r="D13" s="1121" t="b">
        <f>BA01.01!D47&lt;&gt;CA15.01!D14+CA15.01!D19+CA15.01!D24</f>
        <v>0</v>
      </c>
    </row>
    <row r="14" spans="1:5" ht="36">
      <c r="A14" s="1118">
        <v>12</v>
      </c>
      <c r="B14" s="1119" t="s">
        <v>2375</v>
      </c>
      <c r="C14" s="1120">
        <f t="shared" si="0"/>
        <v>0</v>
      </c>
      <c r="D14" s="1121" t="b">
        <f>BA01.01!E70&lt;&gt;SI04.01!E62</f>
        <v>0</v>
      </c>
    </row>
    <row r="15" spans="1:5" ht="36">
      <c r="A15" s="1118">
        <v>13</v>
      </c>
      <c r="B15" s="1119" t="s">
        <v>2376</v>
      </c>
      <c r="C15" s="1120">
        <f t="shared" si="0"/>
        <v>0</v>
      </c>
      <c r="D15" s="1121" t="b">
        <f>BA01.01!D70&lt;&gt;SI04.01!D62</f>
        <v>0</v>
      </c>
    </row>
    <row r="16" spans="1:5" ht="54">
      <c r="A16" s="1118">
        <v>14</v>
      </c>
      <c r="B16" s="1119" t="s">
        <v>2377</v>
      </c>
      <c r="C16" s="1120">
        <f t="shared" si="0"/>
        <v>0</v>
      </c>
      <c r="D16" s="1121" t="b">
        <f>BA01.01!E71&lt;&gt;SI04.01!E72+SI04.01!E73+SI04.01!E79+SI04.01!E80</f>
        <v>0</v>
      </c>
    </row>
    <row r="17" spans="1:4" ht="54">
      <c r="A17" s="1118">
        <v>15</v>
      </c>
      <c r="B17" s="1119" t="s">
        <v>2378</v>
      </c>
      <c r="C17" s="1120">
        <f t="shared" si="0"/>
        <v>0</v>
      </c>
      <c r="D17" s="1121" t="b">
        <f>BA01.01!D71&lt;&gt;SI04.01!D72+SI04.01!D73+SI04.01!D79+SI04.01!D80</f>
        <v>0</v>
      </c>
    </row>
    <row r="18" spans="1:4" ht="36">
      <c r="A18" s="1118">
        <v>16</v>
      </c>
      <c r="B18" s="1119" t="s">
        <v>2379</v>
      </c>
      <c r="C18" s="1120">
        <f t="shared" si="0"/>
        <v>0</v>
      </c>
      <c r="D18" s="1121" t="b">
        <f>BA01.01!E72&lt;&gt;SI04.01!E74+SI04.01!E81</f>
        <v>0</v>
      </c>
    </row>
    <row r="19" spans="1:4" ht="36">
      <c r="A19" s="1118">
        <v>17</v>
      </c>
      <c r="B19" s="1119" t="s">
        <v>2380</v>
      </c>
      <c r="C19" s="1120">
        <f t="shared" si="0"/>
        <v>0</v>
      </c>
      <c r="D19" s="1121" t="b">
        <f>BA01.01!D72&lt;&gt;SI04.01!D74+SI04.01!D81</f>
        <v>0</v>
      </c>
    </row>
    <row r="20" spans="1:4" ht="36">
      <c r="A20" s="1118">
        <v>18</v>
      </c>
      <c r="B20" s="1119" t="s">
        <v>2381</v>
      </c>
      <c r="C20" s="1120">
        <f t="shared" si="0"/>
        <v>0</v>
      </c>
      <c r="D20" s="1121" t="b">
        <f>BA01.01!E73&lt;&gt;SI04.01!E63+SI04.01!E64</f>
        <v>0</v>
      </c>
    </row>
    <row r="21" spans="1:4" ht="36">
      <c r="A21" s="1118">
        <v>19</v>
      </c>
      <c r="B21" s="1119" t="s">
        <v>2382</v>
      </c>
      <c r="C21" s="1120">
        <f t="shared" si="0"/>
        <v>0</v>
      </c>
      <c r="D21" s="1121" t="b">
        <f>BA01.01!D73&lt;&gt;SI04.01!D63+SI04.01!D64</f>
        <v>0</v>
      </c>
    </row>
    <row r="22" spans="1:4" ht="90">
      <c r="A22" s="1118">
        <v>20</v>
      </c>
      <c r="B22" s="1119" t="s">
        <v>2383</v>
      </c>
      <c r="C22" s="1120">
        <f t="shared" si="0"/>
        <v>0</v>
      </c>
      <c r="D22" s="1121" t="b">
        <f>BA01.01!E74&lt;&gt;SI04.01!E65+SI04.01!E66+SI04.01!E67+SI04.01!E68+SI04.01!E69+SI04.01!E70+SI04.01!E71+SI04.01!E78+SI04.01!E82+SI04.01!E83</f>
        <v>0</v>
      </c>
    </row>
    <row r="23" spans="1:4" ht="90">
      <c r="A23" s="1118">
        <v>21</v>
      </c>
      <c r="B23" s="1119" t="s">
        <v>2384</v>
      </c>
      <c r="C23" s="1120">
        <f t="shared" si="0"/>
        <v>0</v>
      </c>
      <c r="D23" s="1121" t="b">
        <f>BA01.01!D74&lt;&gt;SI04.01!D65+SI04.01!D66+SI04.01!D67+SI04.01!D68+SI04.01!D69+SI04.01!D70+SI04.01!D71+SI04.01!D78+SI04.01!D82+SI04.01!D83</f>
        <v>0</v>
      </c>
    </row>
    <row r="24" spans="1:4" ht="36">
      <c r="A24" s="1118">
        <v>22</v>
      </c>
      <c r="B24" s="1119" t="s">
        <v>2385</v>
      </c>
      <c r="C24" s="1120">
        <f t="shared" si="0"/>
        <v>0</v>
      </c>
      <c r="D24" s="1121" t="b">
        <f>BA01.01!E95&lt;&gt;BB01.05!E7</f>
        <v>0</v>
      </c>
    </row>
    <row r="25" spans="1:4" ht="36">
      <c r="A25" s="1118">
        <v>23</v>
      </c>
      <c r="B25" s="1119" t="s">
        <v>2386</v>
      </c>
      <c r="C25" s="1120">
        <f t="shared" si="0"/>
        <v>0</v>
      </c>
      <c r="D25" s="1121" t="b">
        <f>BA01.01!D95&lt;&gt;BB01.05!D7</f>
        <v>0</v>
      </c>
    </row>
    <row r="26" spans="1:4" ht="126">
      <c r="A26" s="1118">
        <v>24</v>
      </c>
      <c r="B26" s="1119" t="s">
        <v>2387</v>
      </c>
      <c r="C26" s="1120">
        <f t="shared" si="0"/>
        <v>0</v>
      </c>
      <c r="D26" s="1122" t="b">
        <f>BA01.01!D97&lt;&gt;CA15.03!D20+CA15.03!D21+CA15.03!D22+CA15.03!D23+CA15.03!D24-CA15.03!D25-CA15.04!D40+BA01.01!D84+BA01.01!D90+SI04.01!D27+SI04.01!D28+SI04.01!D29+SI04.01!D53+SI04.01!D54+SI04.01!D55+SI04.01!D79+SI04.01!D80+SI04.01!D81</f>
        <v>0</v>
      </c>
    </row>
    <row r="27" spans="1:4" ht="36">
      <c r="A27" s="1118">
        <v>25</v>
      </c>
      <c r="B27" s="1123" t="s">
        <v>2617</v>
      </c>
      <c r="C27" s="1120">
        <f t="shared" si="0"/>
        <v>0</v>
      </c>
      <c r="D27" s="1122" t="b">
        <f>BA01.01!D97&lt;&gt;BC01.03!D26</f>
        <v>0</v>
      </c>
    </row>
    <row r="28" spans="1:4" ht="36">
      <c r="A28" s="1118">
        <v>26</v>
      </c>
      <c r="B28" s="1123" t="s">
        <v>2618</v>
      </c>
      <c r="C28" s="1124">
        <f t="shared" si="0"/>
        <v>0</v>
      </c>
      <c r="D28" s="1125" t="b">
        <f>BA01.01!E97&gt;BA01.01!D97</f>
        <v>0</v>
      </c>
    </row>
    <row r="29" spans="1:4" ht="36">
      <c r="A29" s="1118">
        <v>27</v>
      </c>
      <c r="B29" s="1119" t="s">
        <v>2389</v>
      </c>
      <c r="C29" s="1124">
        <f t="shared" si="0"/>
        <v>0</v>
      </c>
      <c r="D29" s="1126" t="b">
        <f>BL01.02!E45&lt;&gt;BB01.05!E22</f>
        <v>0</v>
      </c>
    </row>
    <row r="30" spans="1:4" ht="36">
      <c r="A30" s="1118">
        <v>28</v>
      </c>
      <c r="B30" s="1119" t="s">
        <v>2390</v>
      </c>
      <c r="C30" s="1124">
        <f t="shared" si="0"/>
        <v>0</v>
      </c>
      <c r="D30" s="1126" t="b">
        <f>BL01.02!D45&lt;&gt;BB01.05!D22</f>
        <v>0</v>
      </c>
    </row>
    <row r="31" spans="1:4" ht="36">
      <c r="A31" s="1118">
        <v>29</v>
      </c>
      <c r="B31" s="1123" t="s">
        <v>2619</v>
      </c>
      <c r="C31" s="1124">
        <f t="shared" si="0"/>
        <v>0</v>
      </c>
      <c r="D31" s="1125" t="b">
        <f>BL01.02!E47&gt;BL01.02!D47</f>
        <v>0</v>
      </c>
    </row>
    <row r="32" spans="1:4" ht="36">
      <c r="A32" s="1118">
        <v>30</v>
      </c>
      <c r="B32" s="1119" t="s">
        <v>2391</v>
      </c>
      <c r="C32" s="1124">
        <f t="shared" si="0"/>
        <v>0</v>
      </c>
      <c r="D32" s="1126" t="b">
        <f>BC01.03!D7&lt;&gt;CA15.05!D9+CA15.05!D10</f>
        <v>0</v>
      </c>
    </row>
    <row r="33" spans="1:4" ht="36">
      <c r="A33" s="1118">
        <v>31</v>
      </c>
      <c r="B33" s="1119" t="s">
        <v>2392</v>
      </c>
      <c r="C33" s="1124">
        <f t="shared" si="0"/>
        <v>0</v>
      </c>
      <c r="D33" s="1126" t="b">
        <f>BC01.03!D10&lt;&gt;CA15.05!D11</f>
        <v>0</v>
      </c>
    </row>
    <row r="34" spans="1:4" ht="36">
      <c r="A34" s="1118">
        <v>32</v>
      </c>
      <c r="B34" s="1119" t="s">
        <v>2393</v>
      </c>
      <c r="C34" s="1124">
        <f t="shared" si="0"/>
        <v>0</v>
      </c>
      <c r="D34" s="1126" t="b">
        <f>BC01.03!D11&lt;&gt;CA15.05!D16</f>
        <v>0</v>
      </c>
    </row>
    <row r="35" spans="1:4" ht="36">
      <c r="A35" s="1118">
        <v>33</v>
      </c>
      <c r="B35" s="1119" t="s">
        <v>2394</v>
      </c>
      <c r="C35" s="1124">
        <f t="shared" si="0"/>
        <v>0</v>
      </c>
      <c r="D35" s="1126" t="b">
        <f>BC01.03!D14&lt;&gt;CA15.05!D13</f>
        <v>0</v>
      </c>
    </row>
    <row r="36" spans="1:4" ht="36">
      <c r="A36" s="1118">
        <v>34</v>
      </c>
      <c r="B36" s="1119" t="s">
        <v>2395</v>
      </c>
      <c r="C36" s="1124">
        <f t="shared" si="0"/>
        <v>0</v>
      </c>
      <c r="D36" s="1126" t="b">
        <f>BC01.03!D15&lt;&gt;CA15.05!D12</f>
        <v>0</v>
      </c>
    </row>
    <row r="37" spans="1:4" ht="36">
      <c r="A37" s="1118">
        <v>35</v>
      </c>
      <c r="B37" s="1119" t="s">
        <v>2396</v>
      </c>
      <c r="C37" s="1124">
        <f t="shared" si="0"/>
        <v>0</v>
      </c>
      <c r="D37" s="1126" t="b">
        <f>BC01.03!D16&lt;&gt;CA15.05!D14</f>
        <v>0</v>
      </c>
    </row>
    <row r="38" spans="1:4" ht="36">
      <c r="A38" s="1118">
        <v>36</v>
      </c>
      <c r="B38" s="1123" t="s">
        <v>2620</v>
      </c>
      <c r="C38" s="1124">
        <f t="shared" si="0"/>
        <v>0</v>
      </c>
      <c r="D38" s="1125" t="b">
        <f>BC01.03!E25&gt;BC01.03!D25</f>
        <v>0</v>
      </c>
    </row>
    <row r="39" spans="1:4" ht="36">
      <c r="A39" s="1118">
        <v>37</v>
      </c>
      <c r="B39" s="1119" t="s">
        <v>2397</v>
      </c>
      <c r="C39" s="1124">
        <f t="shared" si="0"/>
        <v>0</v>
      </c>
      <c r="D39" s="1126" t="b">
        <f>BO01.04!D14&lt;&gt;CA15.04!D23+CA15.04!D24+CA15.04!D25</f>
        <v>0</v>
      </c>
    </row>
    <row r="40" spans="1:4" ht="36">
      <c r="A40" s="1118">
        <v>38</v>
      </c>
      <c r="B40" s="1119" t="s">
        <v>2398</v>
      </c>
      <c r="C40" s="1124">
        <f t="shared" si="0"/>
        <v>0</v>
      </c>
      <c r="D40" s="1126" t="b">
        <f>BO01.04!D15&lt;&gt;CA15.04!D14+CA15.04!D15+CA15.04!D16</f>
        <v>0</v>
      </c>
    </row>
    <row r="41" spans="1:4" ht="54">
      <c r="A41" s="1118">
        <v>39</v>
      </c>
      <c r="B41" s="1119" t="s">
        <v>2399</v>
      </c>
      <c r="C41" s="1124">
        <f t="shared" si="0"/>
        <v>0</v>
      </c>
      <c r="D41" s="1126" t="b">
        <f>BO01.04!D16&lt;&gt;CA15.04!D17+CA15.04!D18+CA15.04!D19+CA15.04!D26+CA15.04!D27+CA15.04!D28</f>
        <v>0</v>
      </c>
    </row>
    <row r="42" spans="1:4" ht="54">
      <c r="A42" s="1118">
        <v>40</v>
      </c>
      <c r="B42" s="1119" t="s">
        <v>2400</v>
      </c>
      <c r="C42" s="1124">
        <f t="shared" si="0"/>
        <v>0</v>
      </c>
      <c r="D42" s="1126" t="b">
        <f>BO01.04!D17&lt;&gt;CA15.04!D10+CA15.04!D11+CA15.04!D12+CA15.04!D13</f>
        <v>0</v>
      </c>
    </row>
    <row r="43" spans="1:4" ht="36">
      <c r="A43" s="1118">
        <v>41</v>
      </c>
      <c r="B43" s="1119" t="s">
        <v>2401</v>
      </c>
      <c r="C43" s="1124">
        <f t="shared" si="0"/>
        <v>0</v>
      </c>
      <c r="D43" s="1126" t="b">
        <f>BO01.04!D21&lt;&gt;CA15.04!D32+CA15.04!D33+CA15.04!D34</f>
        <v>0</v>
      </c>
    </row>
    <row r="44" spans="1:4" ht="36">
      <c r="A44" s="1118">
        <v>42</v>
      </c>
      <c r="B44" s="1119" t="s">
        <v>2402</v>
      </c>
      <c r="C44" s="1124">
        <f t="shared" si="0"/>
        <v>0</v>
      </c>
      <c r="D44" s="1126" t="b">
        <f>BO01.04!D23&lt;&gt;CA15.04!D20+CA15.04!D21+CA15.04!D22</f>
        <v>0</v>
      </c>
    </row>
    <row r="45" spans="1:4" ht="36">
      <c r="A45" s="1118">
        <v>43</v>
      </c>
      <c r="B45" s="1119" t="s">
        <v>2403</v>
      </c>
      <c r="C45" s="1124">
        <f t="shared" si="0"/>
        <v>0</v>
      </c>
      <c r="D45" s="1126" t="b">
        <f>BO01.04!D24&lt;&gt;CA15.04!D29+CA15.04!D30+CA15.04!D31</f>
        <v>0</v>
      </c>
    </row>
    <row r="46" spans="1:4" ht="36">
      <c r="A46" s="1118">
        <v>44</v>
      </c>
      <c r="B46" s="1123" t="s">
        <v>2621</v>
      </c>
      <c r="C46" s="1124">
        <f t="shared" si="0"/>
        <v>0</v>
      </c>
      <c r="D46" s="1126" t="b">
        <f>BO01.04!E7&gt;BO01.04!D7</f>
        <v>0</v>
      </c>
    </row>
    <row r="47" spans="1:4" ht="54">
      <c r="A47" s="1118">
        <v>45</v>
      </c>
      <c r="B47" s="1119" t="s">
        <v>2404</v>
      </c>
      <c r="C47" s="1124">
        <f t="shared" si="0"/>
        <v>0</v>
      </c>
      <c r="D47" s="1126" t="b">
        <f>BB01.05!D17&lt;&gt;OA05.01!D28+OA05.02!D28-BB01.05!D16-BB01.05!D18</f>
        <v>0</v>
      </c>
    </row>
    <row r="48" spans="1:4" ht="54">
      <c r="A48" s="1118">
        <v>46</v>
      </c>
      <c r="B48" s="1119" t="s">
        <v>2405</v>
      </c>
      <c r="C48" s="1124">
        <f t="shared" si="0"/>
        <v>0</v>
      </c>
      <c r="D48" s="1125" t="b">
        <f>BB01.05!D18&gt;OA05.01!D28+OA05.02!D28-BB01.05!D16-BB01.05!D17</f>
        <v>0</v>
      </c>
    </row>
    <row r="49" spans="1:4" ht="36">
      <c r="A49" s="1118">
        <v>47</v>
      </c>
      <c r="B49" s="1123" t="s">
        <v>2622</v>
      </c>
      <c r="C49" s="1124">
        <f t="shared" si="0"/>
        <v>0</v>
      </c>
      <c r="D49" s="1125" t="b">
        <f>BB01.05!E7&gt;BB01.05!D7</f>
        <v>0</v>
      </c>
    </row>
    <row r="50" spans="1:4" ht="36">
      <c r="A50" s="1118">
        <v>48</v>
      </c>
      <c r="B50" s="1123" t="s">
        <v>2623</v>
      </c>
      <c r="C50" s="1124">
        <f t="shared" si="0"/>
        <v>0</v>
      </c>
      <c r="D50" s="1125" t="b">
        <f>BB01.05!E22&gt;BB01.05!D22</f>
        <v>0</v>
      </c>
    </row>
    <row r="51" spans="1:4" ht="36">
      <c r="A51" s="1118">
        <v>49</v>
      </c>
      <c r="B51" s="1119" t="s">
        <v>2406</v>
      </c>
      <c r="C51" s="1124">
        <f t="shared" si="0"/>
        <v>0</v>
      </c>
      <c r="D51" s="1126" t="b">
        <f>PL02.01!D58-PL02.01!D60&lt;&gt;MI17.01!D77-MI17.01!D78</f>
        <v>0</v>
      </c>
    </row>
    <row r="52" spans="1:4" ht="36">
      <c r="A52" s="1118">
        <v>50</v>
      </c>
      <c r="B52" s="1119" t="s">
        <v>2407</v>
      </c>
      <c r="C52" s="1124">
        <f t="shared" si="0"/>
        <v>0</v>
      </c>
      <c r="D52" s="1126" t="b">
        <f>PL02.01!D92&lt;&gt;MI17.01!D15</f>
        <v>0</v>
      </c>
    </row>
    <row r="53" spans="1:4" ht="36">
      <c r="A53" s="1118">
        <v>51</v>
      </c>
      <c r="B53" s="1119" t="s">
        <v>2408</v>
      </c>
      <c r="C53" s="1124">
        <f t="shared" si="0"/>
        <v>0</v>
      </c>
      <c r="D53" s="1126" t="b">
        <f>PL02.01!D135&lt;&gt;BC01.03!D13</f>
        <v>0</v>
      </c>
    </row>
    <row r="54" spans="1:4" ht="36">
      <c r="A54" s="1118">
        <v>52</v>
      </c>
      <c r="B54" s="1123" t="s">
        <v>2624</v>
      </c>
      <c r="C54" s="1124">
        <f t="shared" si="0"/>
        <v>0</v>
      </c>
      <c r="D54" s="1125" t="b">
        <f>CC03.01!D15&lt;&gt;DI18.01!D10</f>
        <v>0</v>
      </c>
    </row>
    <row r="55" spans="1:4" ht="36">
      <c r="A55" s="1118">
        <v>53</v>
      </c>
      <c r="B55" s="1123" t="s">
        <v>2625</v>
      </c>
      <c r="C55" s="1124">
        <f t="shared" si="0"/>
        <v>0</v>
      </c>
      <c r="D55" s="1125" t="b">
        <f>CC03.01!D16&lt;&gt;DI18.01!D11</f>
        <v>0</v>
      </c>
    </row>
    <row r="56" spans="1:4" ht="36">
      <c r="A56" s="1118">
        <v>54</v>
      </c>
      <c r="B56" s="1123" t="s">
        <v>2626</v>
      </c>
      <c r="C56" s="1124">
        <f t="shared" si="0"/>
        <v>0</v>
      </c>
      <c r="D56" s="1125" t="b">
        <f>CC03.01!D17&lt;&gt;DI18.01!D12</f>
        <v>0</v>
      </c>
    </row>
    <row r="57" spans="1:4" ht="36">
      <c r="A57" s="1118">
        <v>55</v>
      </c>
      <c r="B57" s="1123" t="s">
        <v>2627</v>
      </c>
      <c r="C57" s="1124">
        <f t="shared" si="0"/>
        <v>0</v>
      </c>
      <c r="D57" s="1125" t="b">
        <f>CC03.01!D18&lt;&gt;DI18.01!D13</f>
        <v>0</v>
      </c>
    </row>
    <row r="58" spans="1:4" ht="36">
      <c r="A58" s="1118">
        <v>56</v>
      </c>
      <c r="B58" s="1123" t="s">
        <v>2628</v>
      </c>
      <c r="C58" s="1124">
        <f t="shared" si="0"/>
        <v>0</v>
      </c>
      <c r="D58" s="1125" t="b">
        <f>CC03.01!D27&lt;&gt;BC01.03!D25</f>
        <v>0</v>
      </c>
    </row>
    <row r="59" spans="1:4" ht="36">
      <c r="A59" s="1118">
        <v>57</v>
      </c>
      <c r="B59" s="1123" t="s">
        <v>2629</v>
      </c>
      <c r="C59" s="1124">
        <f t="shared" si="0"/>
        <v>0</v>
      </c>
      <c r="D59" s="1125" t="b">
        <f>SI04.01!E7&gt;SI04.01!D7</f>
        <v>0</v>
      </c>
    </row>
    <row r="60" spans="1:4" ht="54">
      <c r="A60" s="1118">
        <v>58</v>
      </c>
      <c r="B60" s="1119" t="s">
        <v>2411</v>
      </c>
      <c r="C60" s="1124">
        <f t="shared" si="0"/>
        <v>0</v>
      </c>
      <c r="D60" s="1126" t="b">
        <f>OA05.01!D28&lt;&gt;BB01.05!D16+BB01.05!D17+BB01.05!D18-OA05.02!D28</f>
        <v>0</v>
      </c>
    </row>
    <row r="61" spans="1:4" ht="36">
      <c r="A61" s="1118">
        <v>59</v>
      </c>
      <c r="B61" s="1123" t="s">
        <v>2630</v>
      </c>
      <c r="C61" s="1124">
        <f t="shared" si="0"/>
        <v>0</v>
      </c>
      <c r="D61" s="1125" t="b">
        <f>OA05.01!F8&gt;OA05.01!E8</f>
        <v>0</v>
      </c>
    </row>
    <row r="62" spans="1:4" ht="36">
      <c r="A62" s="1118">
        <v>60</v>
      </c>
      <c r="B62" s="1123" t="s">
        <v>2631</v>
      </c>
      <c r="C62" s="1124">
        <f t="shared" si="0"/>
        <v>0</v>
      </c>
      <c r="D62" s="1125" t="b">
        <f>OA05.01!E28&gt;OA05.01!D28</f>
        <v>0</v>
      </c>
    </row>
    <row r="63" spans="1:4" ht="36">
      <c r="A63" s="1118">
        <v>61</v>
      </c>
      <c r="B63" s="1119" t="s">
        <v>2410</v>
      </c>
      <c r="C63" s="1124">
        <f t="shared" si="0"/>
        <v>0</v>
      </c>
      <c r="D63" s="1126" t="b">
        <f>OA05.02!D28&lt;&gt;BB01.05!E16+BB01.05!E17+BB01.05!E18</f>
        <v>0</v>
      </c>
    </row>
    <row r="64" spans="1:4" ht="36">
      <c r="A64" s="1118">
        <v>62</v>
      </c>
      <c r="B64" s="1123" t="s">
        <v>2632</v>
      </c>
      <c r="C64" s="1124">
        <f t="shared" si="0"/>
        <v>0</v>
      </c>
      <c r="D64" s="1125" t="b">
        <f>OA05.02!F8&gt;OA05.02!E8</f>
        <v>0</v>
      </c>
    </row>
    <row r="65" spans="1:4" ht="36">
      <c r="A65" s="1118">
        <v>63</v>
      </c>
      <c r="B65" s="1123" t="s">
        <v>2633</v>
      </c>
      <c r="C65" s="1124">
        <f t="shared" si="0"/>
        <v>0</v>
      </c>
      <c r="D65" s="1125" t="b">
        <f>OA05.02!E28&gt;OA05.02!D28</f>
        <v>0</v>
      </c>
    </row>
    <row r="66" spans="1:4" ht="54">
      <c r="A66" s="1118">
        <v>64</v>
      </c>
      <c r="B66" s="1123" t="s">
        <v>2634</v>
      </c>
      <c r="C66" s="1124">
        <f t="shared" si="0"/>
        <v>0</v>
      </c>
      <c r="D66" s="1125" t="b">
        <f>CA06.01!D8&lt;&gt;BA01.01!D51+BA01.01!D58-BA01.01!E51-BA01.01!E58</f>
        <v>0</v>
      </c>
    </row>
    <row r="67" spans="1:4" ht="36">
      <c r="A67" s="1118">
        <v>65</v>
      </c>
      <c r="B67" s="1119" t="s">
        <v>2412</v>
      </c>
      <c r="C67" s="1124">
        <f t="shared" si="0"/>
        <v>0</v>
      </c>
      <c r="D67" s="1126" t="b">
        <f>CA06.01!E8&lt;&gt;BA01.01!D58-BA01.01!E58</f>
        <v>0</v>
      </c>
    </row>
    <row r="68" spans="1:4" ht="36">
      <c r="A68" s="1118">
        <v>66</v>
      </c>
      <c r="B68" s="1119" t="s">
        <v>2413</v>
      </c>
      <c r="C68" s="1124">
        <f t="shared" ref="C68:C131" si="1">IF(D68=FALSE,0,1)</f>
        <v>0</v>
      </c>
      <c r="D68" s="1126" t="b">
        <f>CA06.01!E8&lt;&gt;OA05.01!D8-BA01.01!D51+BA01.01!E51</f>
        <v>0</v>
      </c>
    </row>
    <row r="69" spans="1:4" ht="36">
      <c r="A69" s="1118">
        <v>67</v>
      </c>
      <c r="B69" s="1119" t="s">
        <v>2414</v>
      </c>
      <c r="C69" s="1124">
        <f t="shared" si="1"/>
        <v>0</v>
      </c>
      <c r="D69" s="1126" t="b">
        <f>CA06.01!D8&lt;&gt;OA05.01!D8</f>
        <v>0</v>
      </c>
    </row>
    <row r="70" spans="1:4" ht="36">
      <c r="A70" s="1118">
        <v>68</v>
      </c>
      <c r="B70" s="1119" t="s">
        <v>2415</v>
      </c>
      <c r="C70" s="1124">
        <f t="shared" si="1"/>
        <v>0</v>
      </c>
      <c r="D70" s="1126" t="b">
        <f>CA06.02!D8&lt;&gt;OA05.02!D8</f>
        <v>0</v>
      </c>
    </row>
    <row r="71" spans="1:4" ht="36">
      <c r="A71" s="1118">
        <v>69</v>
      </c>
      <c r="B71" s="1119" t="s">
        <v>2416</v>
      </c>
      <c r="C71" s="1124">
        <f t="shared" si="1"/>
        <v>0</v>
      </c>
      <c r="D71" s="1126" t="b">
        <f>CA06.01!E9&lt;&gt;OA05.01!D9-BA01.01!D52+BA01.01!E52</f>
        <v>0</v>
      </c>
    </row>
    <row r="72" spans="1:4" ht="36">
      <c r="A72" s="1118">
        <v>70</v>
      </c>
      <c r="B72" s="1119" t="s">
        <v>2417</v>
      </c>
      <c r="C72" s="1124">
        <f t="shared" si="1"/>
        <v>0</v>
      </c>
      <c r="D72" s="1126" t="b">
        <f>CA06.01!E10&lt;&gt;OA05.01!D10-BA01.01!D53+BA01.01!E53</f>
        <v>0</v>
      </c>
    </row>
    <row r="73" spans="1:4" ht="36">
      <c r="A73" s="1118">
        <v>71</v>
      </c>
      <c r="B73" s="1119" t="s">
        <v>2418</v>
      </c>
      <c r="C73" s="1124">
        <f t="shared" si="1"/>
        <v>0</v>
      </c>
      <c r="D73" s="1126" t="b">
        <f>CA06.01!E11&lt;&gt;OA05.01!D11-BA01.01!D54+BA01.01!E54</f>
        <v>0</v>
      </c>
    </row>
    <row r="74" spans="1:4" ht="36">
      <c r="A74" s="1118">
        <v>72</v>
      </c>
      <c r="B74" s="1119" t="s">
        <v>2419</v>
      </c>
      <c r="C74" s="1124">
        <f t="shared" si="1"/>
        <v>0</v>
      </c>
      <c r="D74" s="1126" t="b">
        <f>CA06.01!E12&lt;&gt;OA05.01!D12-BA01.01!D55+BA01.01!E55</f>
        <v>0</v>
      </c>
    </row>
    <row r="75" spans="1:4" ht="36">
      <c r="A75" s="1118">
        <v>73</v>
      </c>
      <c r="B75" s="1119" t="s">
        <v>2420</v>
      </c>
      <c r="C75" s="1124">
        <f t="shared" si="1"/>
        <v>0</v>
      </c>
      <c r="D75" s="1126" t="b">
        <f>CA06.01!E13&lt;CL20.01!E8</f>
        <v>0</v>
      </c>
    </row>
    <row r="76" spans="1:4" ht="36">
      <c r="A76" s="1118">
        <v>74</v>
      </c>
      <c r="B76" s="1119" t="s">
        <v>2421</v>
      </c>
      <c r="C76" s="1124">
        <f t="shared" si="1"/>
        <v>0</v>
      </c>
      <c r="D76" s="1126" t="b">
        <f>CA06.01!E13&lt;&gt;OA05.01!D13-BA01.01!D56+BA01.01!E56</f>
        <v>0</v>
      </c>
    </row>
    <row r="77" spans="1:4" ht="36">
      <c r="A77" s="1118">
        <v>75</v>
      </c>
      <c r="B77" s="1119" t="s">
        <v>2422</v>
      </c>
      <c r="C77" s="1124">
        <f t="shared" si="1"/>
        <v>0</v>
      </c>
      <c r="D77" s="1126" t="b">
        <f>CA06.01!E14&lt;&gt;OA05.01!D14-BA01.01!D57+BA01.01!E57</f>
        <v>0</v>
      </c>
    </row>
    <row r="78" spans="1:4" ht="54">
      <c r="A78" s="1118">
        <v>76</v>
      </c>
      <c r="B78" s="1123" t="s">
        <v>2635</v>
      </c>
      <c r="C78" s="1124">
        <f t="shared" si="1"/>
        <v>0</v>
      </c>
      <c r="D78" s="1125" t="b">
        <f>CA06.01!D15&lt;&gt;BA01.01!D59+BA01.01!D60-BA01.01!E59-BA01.01!E60</f>
        <v>0</v>
      </c>
    </row>
    <row r="79" spans="1:4" ht="36">
      <c r="A79" s="1118">
        <v>77</v>
      </c>
      <c r="B79" s="1119" t="s">
        <v>2423</v>
      </c>
      <c r="C79" s="1124">
        <f t="shared" si="1"/>
        <v>0</v>
      </c>
      <c r="D79" s="1125" t="b">
        <f>CA06.01!E15&lt;&gt;OA05.01!D15-BA01.01!D59+BA01.01!E59</f>
        <v>0</v>
      </c>
    </row>
    <row r="80" spans="1:4" ht="36">
      <c r="A80" s="1118">
        <v>78</v>
      </c>
      <c r="B80" s="1119" t="s">
        <v>2424</v>
      </c>
      <c r="C80" s="1124">
        <f t="shared" si="1"/>
        <v>0</v>
      </c>
      <c r="D80" s="1126" t="b">
        <f>CA06.01!E15&lt;&gt;BA01.01!D60-BA01.01!E60</f>
        <v>0</v>
      </c>
    </row>
    <row r="81" spans="1:4" ht="54">
      <c r="A81" s="1118">
        <v>79</v>
      </c>
      <c r="B81" s="1123" t="s">
        <v>2636</v>
      </c>
      <c r="C81" s="1124">
        <f t="shared" si="1"/>
        <v>0</v>
      </c>
      <c r="D81" s="1126" t="b">
        <f>CA06.01!D16&lt;&gt;BA01.01!D61+BA01.01!D68-BA01.01!E61-BA01.01!E68</f>
        <v>0</v>
      </c>
    </row>
    <row r="82" spans="1:4" ht="36">
      <c r="A82" s="1118">
        <v>80</v>
      </c>
      <c r="B82" s="1119" t="s">
        <v>2425</v>
      </c>
      <c r="C82" s="1124">
        <f t="shared" si="1"/>
        <v>0</v>
      </c>
      <c r="D82" s="1126" t="b">
        <f>CA06.01!D16&lt;&gt;OA05.01!D16</f>
        <v>0</v>
      </c>
    </row>
    <row r="83" spans="1:4" ht="36">
      <c r="A83" s="1118">
        <v>81</v>
      </c>
      <c r="B83" s="1119" t="s">
        <v>2426</v>
      </c>
      <c r="C83" s="1124">
        <f t="shared" si="1"/>
        <v>0</v>
      </c>
      <c r="D83" s="1126" t="b">
        <f>CA06.02!D16&lt;&gt;OA05.02!D16</f>
        <v>0</v>
      </c>
    </row>
    <row r="84" spans="1:4" ht="36">
      <c r="A84" s="1118">
        <v>82</v>
      </c>
      <c r="B84" s="1119" t="s">
        <v>2427</v>
      </c>
      <c r="C84" s="1124">
        <f t="shared" si="1"/>
        <v>0</v>
      </c>
      <c r="D84" s="1126" t="b">
        <f>CA06.01!E16&lt;&gt;OA05.01!D16-BA01.01!D61+BA01.01!E61</f>
        <v>0</v>
      </c>
    </row>
    <row r="85" spans="1:4" ht="36">
      <c r="A85" s="1118">
        <v>83</v>
      </c>
      <c r="B85" s="1119" t="s">
        <v>2428</v>
      </c>
      <c r="C85" s="1124">
        <f t="shared" si="1"/>
        <v>0</v>
      </c>
      <c r="D85" s="1126" t="b">
        <f>CA06.01!E17&lt;&gt;OA05.01!D17-BA01.01!D62+BA01.01!E62</f>
        <v>0</v>
      </c>
    </row>
    <row r="86" spans="1:4" ht="36">
      <c r="A86" s="1118">
        <v>84</v>
      </c>
      <c r="B86" s="1119" t="s">
        <v>2429</v>
      </c>
      <c r="C86" s="1124">
        <f t="shared" si="1"/>
        <v>0</v>
      </c>
      <c r="D86" s="1126" t="b">
        <f>CA06.01!E18&lt;&gt;OA05.01!D18-BA01.01!D63+BA01.01!E63</f>
        <v>0</v>
      </c>
    </row>
    <row r="87" spans="1:4" ht="36">
      <c r="A87" s="1118">
        <v>85</v>
      </c>
      <c r="B87" s="1119" t="s">
        <v>2430</v>
      </c>
      <c r="C87" s="1124">
        <f t="shared" si="1"/>
        <v>0</v>
      </c>
      <c r="D87" s="1126" t="b">
        <f>CA06.01!E19&lt;&gt;OA05.01!D19-BA01.01!D64+BA01.01!E64</f>
        <v>0</v>
      </c>
    </row>
    <row r="88" spans="1:4" ht="36">
      <c r="A88" s="1118">
        <v>86</v>
      </c>
      <c r="B88" s="1119" t="s">
        <v>2431</v>
      </c>
      <c r="C88" s="1124">
        <f t="shared" si="1"/>
        <v>0</v>
      </c>
      <c r="D88" s="1126" t="b">
        <f>CA06.01!E20&lt;&gt;OA05.01!D20-BA01.01!D64+BA01.01!E65</f>
        <v>0</v>
      </c>
    </row>
    <row r="89" spans="1:4" ht="36">
      <c r="A89" s="1118">
        <v>87</v>
      </c>
      <c r="B89" s="1119" t="s">
        <v>2432</v>
      </c>
      <c r="C89" s="1124">
        <f t="shared" si="1"/>
        <v>0</v>
      </c>
      <c r="D89" s="1126" t="b">
        <f>CA06.01!E21&lt;&gt;OA05.01!D21-BA01.01!D66+BA01.01!E66</f>
        <v>0</v>
      </c>
    </row>
    <row r="90" spans="1:4" ht="36">
      <c r="A90" s="1118">
        <v>88</v>
      </c>
      <c r="B90" s="1119" t="s">
        <v>2433</v>
      </c>
      <c r="C90" s="1124">
        <f t="shared" si="1"/>
        <v>0</v>
      </c>
      <c r="D90" s="1126" t="b">
        <f>CA06.01!E22&lt;&gt;OA05.01!D22-BA01.01!D67+BA01.01!E67</f>
        <v>0</v>
      </c>
    </row>
    <row r="91" spans="1:4" ht="54">
      <c r="A91" s="1118">
        <v>89</v>
      </c>
      <c r="B91" s="1119" t="s">
        <v>2434</v>
      </c>
      <c r="C91" s="1124">
        <f t="shared" si="1"/>
        <v>0</v>
      </c>
      <c r="D91" s="1126" t="b">
        <f>CA06.01!E23&lt;&gt;OA05.01!D23-BA01.01!D16-BA01.01!D28+BA01.01!E16+BA01.01!E28</f>
        <v>0</v>
      </c>
    </row>
    <row r="92" spans="1:4" ht="54">
      <c r="A92" s="1118">
        <v>90</v>
      </c>
      <c r="B92" s="1119" t="s">
        <v>2637</v>
      </c>
      <c r="C92" s="1124">
        <f t="shared" si="1"/>
        <v>0</v>
      </c>
      <c r="D92" s="1126" t="b">
        <f>CA06.01!E24&lt;&gt;OA05.01!D24-BA01.01!D17-BA01.01!D29+BA01.01!E17+BA01.01!E29</f>
        <v>0</v>
      </c>
    </row>
    <row r="93" spans="1:4" ht="54">
      <c r="A93" s="1118">
        <v>91</v>
      </c>
      <c r="B93" s="1119" t="s">
        <v>2638</v>
      </c>
      <c r="C93" s="1124">
        <f t="shared" si="1"/>
        <v>0</v>
      </c>
      <c r="D93" s="1126" t="b">
        <f>CA06.01!E25&lt;&gt;OA05.01!D25-BA01.01!D22-BA01.01!D34+BA01.01!E22+BA01.01!E34</f>
        <v>0</v>
      </c>
    </row>
    <row r="94" spans="1:4" ht="54">
      <c r="A94" s="1118">
        <v>92</v>
      </c>
      <c r="B94" s="1119" t="s">
        <v>2639</v>
      </c>
      <c r="C94" s="1124">
        <f t="shared" si="1"/>
        <v>0</v>
      </c>
      <c r="D94" s="1126" t="b">
        <f>CA06.01!E26&lt;&gt;OA05.01!D26-BA01.01!D23-BA01.01!D35+BA01.01!E23+BA01.01!E35</f>
        <v>0</v>
      </c>
    </row>
    <row r="95" spans="1:4" ht="72">
      <c r="A95" s="1118">
        <v>93</v>
      </c>
      <c r="B95" s="1119" t="s">
        <v>2438</v>
      </c>
      <c r="C95" s="1124">
        <f t="shared" si="1"/>
        <v>0</v>
      </c>
      <c r="D95" s="1126" t="b">
        <f>CA06.01!E27&lt;&gt;OA05.01!D27-SI04.01!D9-SI04.01!D35-SI04.01!D61+SI04.01!E9+SI04.01!E35+SI04.01!E61</f>
        <v>0</v>
      </c>
    </row>
    <row r="96" spans="1:4" ht="36">
      <c r="A96" s="1118">
        <v>94</v>
      </c>
      <c r="B96" s="1119" t="s">
        <v>2654</v>
      </c>
      <c r="C96" s="1124">
        <f t="shared" si="1"/>
        <v>0</v>
      </c>
      <c r="D96" s="1126" t="b">
        <f>CA06.01!D28&lt;&gt;OA05.01!D28</f>
        <v>0</v>
      </c>
    </row>
    <row r="97" spans="1:4" ht="36">
      <c r="A97" s="1118">
        <v>95</v>
      </c>
      <c r="B97" s="1119" t="s">
        <v>2440</v>
      </c>
      <c r="C97" s="1124">
        <f t="shared" si="1"/>
        <v>0</v>
      </c>
      <c r="D97" s="1126" t="b">
        <f>CA06.01!D11&lt;CL20.01!D15</f>
        <v>0</v>
      </c>
    </row>
    <row r="98" spans="1:4" ht="36">
      <c r="A98" s="1118">
        <v>96</v>
      </c>
      <c r="B98" s="1119" t="s">
        <v>2441</v>
      </c>
      <c r="C98" s="1124">
        <f t="shared" si="1"/>
        <v>0</v>
      </c>
      <c r="D98" s="1126" t="b">
        <f>CA06.01!D13+CA06.01!D21&lt;CL20.01!D8</f>
        <v>0</v>
      </c>
    </row>
    <row r="99" spans="1:4" ht="36">
      <c r="A99" s="1118">
        <v>97</v>
      </c>
      <c r="B99" s="1119" t="s">
        <v>2442</v>
      </c>
      <c r="C99" s="1124">
        <f t="shared" si="1"/>
        <v>0</v>
      </c>
      <c r="D99" s="1126" t="b">
        <f>CA06.02!D11&lt;CL20.02!D15</f>
        <v>0</v>
      </c>
    </row>
    <row r="100" spans="1:4" ht="36">
      <c r="A100" s="1118">
        <v>98</v>
      </c>
      <c r="B100" s="1119" t="s">
        <v>2443</v>
      </c>
      <c r="C100" s="1124">
        <f t="shared" si="1"/>
        <v>0</v>
      </c>
      <c r="D100" s="1126" t="b">
        <f>CA06.02!D13+CA06.02!D21&lt;CL20.02!D8</f>
        <v>0</v>
      </c>
    </row>
    <row r="101" spans="1:4" ht="36">
      <c r="A101" s="1118">
        <v>99</v>
      </c>
      <c r="B101" s="1123" t="s">
        <v>2640</v>
      </c>
      <c r="C101" s="1124">
        <f t="shared" si="1"/>
        <v>0</v>
      </c>
      <c r="D101" s="1126" t="b">
        <f>CA06.02!D8&lt;&gt;BA01.01!E51+BA01.01!E58</f>
        <v>0</v>
      </c>
    </row>
    <row r="102" spans="1:4" ht="36">
      <c r="A102" s="1118">
        <v>100</v>
      </c>
      <c r="B102" s="1119" t="s">
        <v>2444</v>
      </c>
      <c r="C102" s="1124">
        <f t="shared" si="1"/>
        <v>0</v>
      </c>
      <c r="D102" s="1126" t="b">
        <f>CA06.02!E8&lt;&gt;BA01.01!E58</f>
        <v>0</v>
      </c>
    </row>
    <row r="103" spans="1:4" ht="36">
      <c r="A103" s="1118">
        <v>101</v>
      </c>
      <c r="B103" s="1119" t="s">
        <v>2445</v>
      </c>
      <c r="C103" s="1124">
        <f t="shared" si="1"/>
        <v>0</v>
      </c>
      <c r="D103" s="1126" t="b">
        <f>CA06.02!E8&lt;&gt;OA05.02!D8-BA01.01!E51</f>
        <v>0</v>
      </c>
    </row>
    <row r="104" spans="1:4" ht="36">
      <c r="A104" s="1118">
        <v>102</v>
      </c>
      <c r="B104" s="1119" t="s">
        <v>2446</v>
      </c>
      <c r="C104" s="1124">
        <f t="shared" si="1"/>
        <v>0</v>
      </c>
      <c r="D104" s="1126" t="b">
        <f>CA06.02!E8&lt;&gt;OA05.02!D8-BA01.01!E51</f>
        <v>0</v>
      </c>
    </row>
    <row r="105" spans="1:4" ht="36">
      <c r="A105" s="1118">
        <v>103</v>
      </c>
      <c r="B105" s="1119" t="s">
        <v>2447</v>
      </c>
      <c r="C105" s="1124">
        <f t="shared" si="1"/>
        <v>0</v>
      </c>
      <c r="D105" s="1126" t="b">
        <f>CA06.02!E10&lt;&gt;OA05.02!D10-BA01.01!E53</f>
        <v>0</v>
      </c>
    </row>
    <row r="106" spans="1:4" ht="36">
      <c r="A106" s="1118">
        <v>104</v>
      </c>
      <c r="B106" s="1119" t="s">
        <v>2448</v>
      </c>
      <c r="C106" s="1124">
        <f t="shared" si="1"/>
        <v>0</v>
      </c>
      <c r="D106" s="1126" t="b">
        <f>CA06.02!E11&lt;&gt;OA05.02!D11-BA01.01!E54</f>
        <v>0</v>
      </c>
    </row>
    <row r="107" spans="1:4" ht="36">
      <c r="A107" s="1118">
        <v>105</v>
      </c>
      <c r="B107" s="1119" t="s">
        <v>2449</v>
      </c>
      <c r="C107" s="1124">
        <f t="shared" si="1"/>
        <v>0</v>
      </c>
      <c r="D107" s="1126" t="b">
        <f>CA06.02!E12&lt;&gt;OA05.02!D12-BA01.01!E55</f>
        <v>0</v>
      </c>
    </row>
    <row r="108" spans="1:4" ht="36">
      <c r="A108" s="1118">
        <v>106</v>
      </c>
      <c r="B108" s="1119" t="s">
        <v>2450</v>
      </c>
      <c r="C108" s="1124">
        <f t="shared" si="1"/>
        <v>0</v>
      </c>
      <c r="D108" s="1126" t="b">
        <f>CA06.02!E13&lt;&gt;OA05.02!D13-BA01.01!E56</f>
        <v>0</v>
      </c>
    </row>
    <row r="109" spans="1:4" ht="36">
      <c r="A109" s="1118">
        <v>107</v>
      </c>
      <c r="B109" s="1119" t="s">
        <v>2451</v>
      </c>
      <c r="C109" s="1124">
        <f t="shared" si="1"/>
        <v>0</v>
      </c>
      <c r="D109" s="1126" t="b">
        <f>CA06.02!E14&lt;&gt;OA05.02!D14-BA01.01!E57</f>
        <v>0</v>
      </c>
    </row>
    <row r="110" spans="1:4" ht="36">
      <c r="A110" s="1118">
        <v>108</v>
      </c>
      <c r="B110" s="1123" t="s">
        <v>2641</v>
      </c>
      <c r="C110" s="1124">
        <f t="shared" si="1"/>
        <v>0</v>
      </c>
      <c r="D110" s="1126" t="b">
        <f>CA06.02!D15&lt;&gt;BA01.01!E59+BA01.01!E60</f>
        <v>0</v>
      </c>
    </row>
    <row r="111" spans="1:4" ht="36">
      <c r="A111" s="1118">
        <v>109</v>
      </c>
      <c r="B111" s="1119" t="s">
        <v>2452</v>
      </c>
      <c r="C111" s="1124">
        <f t="shared" si="1"/>
        <v>0</v>
      </c>
      <c r="D111" s="1126" t="b">
        <f>CA06.02!E15&lt;&gt;BA01.01!E60</f>
        <v>0</v>
      </c>
    </row>
    <row r="112" spans="1:4" ht="36">
      <c r="A112" s="1118">
        <v>110</v>
      </c>
      <c r="B112" s="1119" t="s">
        <v>2453</v>
      </c>
      <c r="C112" s="1124">
        <f t="shared" si="1"/>
        <v>0</v>
      </c>
      <c r="D112" s="1126" t="b">
        <f>CA06.02!E15&lt;&gt;OA05.02!D15-BA01.01!E59</f>
        <v>0</v>
      </c>
    </row>
    <row r="113" spans="1:4" ht="36">
      <c r="A113" s="1118">
        <v>111</v>
      </c>
      <c r="B113" s="1123" t="s">
        <v>2642</v>
      </c>
      <c r="C113" s="1124">
        <f t="shared" si="1"/>
        <v>0</v>
      </c>
      <c r="D113" s="1126" t="b">
        <f>CA06.02!D16&lt;&gt;BA01.01!E61+BA01.01!E68</f>
        <v>0</v>
      </c>
    </row>
    <row r="114" spans="1:4" ht="36">
      <c r="A114" s="1118">
        <v>112</v>
      </c>
      <c r="B114" s="1119" t="s">
        <v>2454</v>
      </c>
      <c r="C114" s="1124">
        <f t="shared" si="1"/>
        <v>0</v>
      </c>
      <c r="D114" s="1126" t="b">
        <f>CA06.02!E16&lt;&gt;OA05.02!D16-BA01.01!E61</f>
        <v>0</v>
      </c>
    </row>
    <row r="115" spans="1:4" ht="36">
      <c r="A115" s="1118">
        <v>113</v>
      </c>
      <c r="B115" s="1119" t="s">
        <v>2455</v>
      </c>
      <c r="C115" s="1124">
        <f t="shared" si="1"/>
        <v>0</v>
      </c>
      <c r="D115" s="1126" t="b">
        <f>CA06.02!E17&lt;&gt;OA05.02!D17-BA01.01!E62</f>
        <v>0</v>
      </c>
    </row>
    <row r="116" spans="1:4" ht="36">
      <c r="A116" s="1118">
        <v>114</v>
      </c>
      <c r="B116" s="1119" t="s">
        <v>2456</v>
      </c>
      <c r="C116" s="1124">
        <f t="shared" si="1"/>
        <v>0</v>
      </c>
      <c r="D116" s="1126" t="b">
        <f>CA06.02!E18&lt;&gt;OA05.02!D18-BA01.01!E63</f>
        <v>0</v>
      </c>
    </row>
    <row r="117" spans="1:4" ht="36">
      <c r="A117" s="1118">
        <v>115</v>
      </c>
      <c r="B117" s="1119" t="s">
        <v>2457</v>
      </c>
      <c r="C117" s="1124">
        <f t="shared" si="1"/>
        <v>0</v>
      </c>
      <c r="D117" s="1126" t="b">
        <f>CA06.02!E19&lt;&gt;OA05.02!D19-BA01.01!E64</f>
        <v>0</v>
      </c>
    </row>
    <row r="118" spans="1:4" ht="36">
      <c r="A118" s="1118">
        <v>116</v>
      </c>
      <c r="B118" s="1119" t="s">
        <v>2458</v>
      </c>
      <c r="C118" s="1124">
        <f t="shared" si="1"/>
        <v>0</v>
      </c>
      <c r="D118" s="1126" t="b">
        <f>CA06.02!E20&lt;&gt;OA05.02!D20-BA01.01!E65</f>
        <v>0</v>
      </c>
    </row>
    <row r="119" spans="1:4" ht="36">
      <c r="A119" s="1118">
        <v>117</v>
      </c>
      <c r="B119" s="1119" t="s">
        <v>2459</v>
      </c>
      <c r="C119" s="1124">
        <f t="shared" si="1"/>
        <v>0</v>
      </c>
      <c r="D119" s="1126" t="b">
        <f>CA06.02!E21&lt;&gt;OA05.02!D21-BA01.01!E66</f>
        <v>0</v>
      </c>
    </row>
    <row r="120" spans="1:4" ht="36">
      <c r="A120" s="1118">
        <v>118</v>
      </c>
      <c r="B120" s="1119" t="s">
        <v>2460</v>
      </c>
      <c r="C120" s="1124">
        <f t="shared" si="1"/>
        <v>0</v>
      </c>
      <c r="D120" s="1126" t="b">
        <f>CA06.02!E22&lt;&gt;OA05.02!D22-BA01.01!E67</f>
        <v>0</v>
      </c>
    </row>
    <row r="121" spans="1:4" ht="36">
      <c r="A121" s="1118">
        <v>119</v>
      </c>
      <c r="B121" s="1119" t="s">
        <v>2461</v>
      </c>
      <c r="C121" s="1124">
        <f t="shared" si="1"/>
        <v>0</v>
      </c>
      <c r="D121" s="1126" t="b">
        <f>CA06.02!E23&lt;&gt;OA05.02!D23-BA01.01!E16-BA01.01!E28</f>
        <v>0</v>
      </c>
    </row>
    <row r="122" spans="1:4" ht="36">
      <c r="A122" s="1118">
        <v>120</v>
      </c>
      <c r="B122" s="1119" t="s">
        <v>2462</v>
      </c>
      <c r="C122" s="1124">
        <f t="shared" si="1"/>
        <v>0</v>
      </c>
      <c r="D122" s="1126" t="b">
        <f>CA06.02!E24&lt;&gt;OA05.02!D24-BA01.01!E17-BA01.01!E29</f>
        <v>0</v>
      </c>
    </row>
    <row r="123" spans="1:4" ht="36">
      <c r="A123" s="1118">
        <v>121</v>
      </c>
      <c r="B123" s="1119" t="s">
        <v>2463</v>
      </c>
      <c r="C123" s="1124">
        <f t="shared" si="1"/>
        <v>0</v>
      </c>
      <c r="D123" s="1126" t="b">
        <f>CA06.02!E25&lt;&gt;OA05.02!D25-BA01.01!E22-BA01.01!E34</f>
        <v>0</v>
      </c>
    </row>
    <row r="124" spans="1:4" ht="36">
      <c r="A124" s="1118">
        <v>122</v>
      </c>
      <c r="B124" s="1119" t="s">
        <v>2464</v>
      </c>
      <c r="C124" s="1124">
        <f t="shared" si="1"/>
        <v>0</v>
      </c>
      <c r="D124" s="1126" t="b">
        <f>CA06.02!E26&lt;&gt;OA05.02!D26-BA01.01!E23-BA01.01!E35</f>
        <v>0</v>
      </c>
    </row>
    <row r="125" spans="1:4" ht="54">
      <c r="A125" s="1118">
        <v>123</v>
      </c>
      <c r="B125" s="1119" t="s">
        <v>2465</v>
      </c>
      <c r="C125" s="1124">
        <f t="shared" si="1"/>
        <v>0</v>
      </c>
      <c r="D125" s="1126" t="b">
        <f>CA06.02!E27&lt;&gt;OA05.02!D27-SI04.01!E9-SI04.01!E35-SI04.01!E61</f>
        <v>0</v>
      </c>
    </row>
    <row r="126" spans="1:4" ht="36">
      <c r="A126" s="1118">
        <v>124</v>
      </c>
      <c r="B126" s="1119" t="s">
        <v>2466</v>
      </c>
      <c r="C126" s="1124">
        <f t="shared" si="1"/>
        <v>0</v>
      </c>
      <c r="D126" s="1126" t="b">
        <f>CA06.02!D28&lt;&gt;OA05.02!D28</f>
        <v>0</v>
      </c>
    </row>
    <row r="127" spans="1:4" ht="36">
      <c r="A127" s="1118">
        <v>125</v>
      </c>
      <c r="B127" s="1119" t="s">
        <v>2467</v>
      </c>
      <c r="C127" s="1124">
        <f t="shared" si="1"/>
        <v>0</v>
      </c>
      <c r="D127" s="1125" t="b">
        <f>LB08.01!I11&gt;BA01.01!D50+BA01.01!D61</f>
        <v>0</v>
      </c>
    </row>
    <row r="128" spans="1:4" ht="36">
      <c r="A128" s="1118">
        <v>126</v>
      </c>
      <c r="B128" s="1119" t="s">
        <v>2468</v>
      </c>
      <c r="C128" s="1124">
        <f t="shared" si="1"/>
        <v>0</v>
      </c>
      <c r="D128" s="1126" t="b">
        <f>DS11.01!K9&gt;BA01.01!D50+BA01.01!D61</f>
        <v>0</v>
      </c>
    </row>
    <row r="129" spans="1:7" ht="36">
      <c r="A129" s="1118">
        <v>127</v>
      </c>
      <c r="B129" s="1119" t="s">
        <v>2469</v>
      </c>
      <c r="C129" s="1124">
        <f t="shared" si="1"/>
        <v>0</v>
      </c>
      <c r="D129" s="1126" t="b">
        <f>DS11.01!D22&lt;&gt;BA01.01!D51-DS11.01!E22</f>
        <v>0</v>
      </c>
    </row>
    <row r="130" spans="1:7" ht="36">
      <c r="A130" s="1118">
        <v>128</v>
      </c>
      <c r="B130" s="1119" t="s">
        <v>2470</v>
      </c>
      <c r="C130" s="1124">
        <f t="shared" si="1"/>
        <v>0</v>
      </c>
      <c r="D130" s="1126" t="b">
        <f>DS11.01!E22&lt;&gt;BA01.01!E51</f>
        <v>0</v>
      </c>
    </row>
    <row r="131" spans="1:7" ht="36">
      <c r="A131" s="1118">
        <v>129</v>
      </c>
      <c r="B131" s="1119" t="s">
        <v>2471</v>
      </c>
      <c r="C131" s="1124">
        <f t="shared" si="1"/>
        <v>0</v>
      </c>
      <c r="D131" s="1125" t="b">
        <f>DS11.01!F21&lt;&gt;BA01.01!D60-DS11.01!G21</f>
        <v>0</v>
      </c>
    </row>
    <row r="132" spans="1:7" ht="36">
      <c r="A132" s="1118">
        <v>130</v>
      </c>
      <c r="B132" s="1119" t="s">
        <v>2472</v>
      </c>
      <c r="C132" s="1124">
        <f t="shared" ref="C132:C195" si="2">IF(D132=FALSE,0,1)</f>
        <v>0</v>
      </c>
      <c r="D132" s="1125" t="b">
        <f>DS11.01!G21&lt;&gt;BA01.01!E60</f>
        <v>0</v>
      </c>
    </row>
    <row r="133" spans="1:7" ht="90">
      <c r="A133" s="1118">
        <v>131</v>
      </c>
      <c r="B133" s="1119" t="s">
        <v>2473</v>
      </c>
      <c r="C133" s="1124">
        <f t="shared" si="2"/>
        <v>0</v>
      </c>
      <c r="D133" s="1125" t="b">
        <f>DS11.01!H22&lt;&gt;BA01.01!D13+BA01.01!D38+BA01.01!D39+BA01.01!D47+BA01.01!D59+BA01.01!D69-BA01.01!E13-BA01.01!E38-BA01.01!E39-BA01.01!E47-BA01.01!E59-BA01.01!E69</f>
        <v>0</v>
      </c>
      <c r="E133" s="1106"/>
      <c r="F133" s="1106"/>
      <c r="G133" s="1106"/>
    </row>
    <row r="134" spans="1:7" ht="54">
      <c r="A134" s="1118">
        <v>132</v>
      </c>
      <c r="B134" s="1119" t="s">
        <v>2474</v>
      </c>
      <c r="C134" s="1124">
        <f t="shared" si="2"/>
        <v>0</v>
      </c>
      <c r="D134" s="1125" t="b">
        <f>DS11.01!I22&lt;&gt;BA01.01!E13+BA01.01!E38+BA01.01!E39+BA01.01!E47+BA01.01!E59+BA01.01!E69</f>
        <v>0</v>
      </c>
    </row>
    <row r="135" spans="1:7" ht="54">
      <c r="A135" s="1118">
        <v>133</v>
      </c>
      <c r="B135" s="1119" t="s">
        <v>2475</v>
      </c>
      <c r="C135" s="1124">
        <f t="shared" si="2"/>
        <v>0</v>
      </c>
      <c r="D135" s="1126" t="b">
        <f>DS11.01!J22&lt;&gt;BO01.04!D7-BO01.04!E7-BO01.04!D25-BO01.04!D36-BO01.04!D37+BO01.04!E25</f>
        <v>0</v>
      </c>
      <c r="E135" s="1106"/>
    </row>
    <row r="136" spans="1:7" ht="54">
      <c r="A136" s="1118">
        <v>134</v>
      </c>
      <c r="B136" s="1119" t="s">
        <v>2476</v>
      </c>
      <c r="C136" s="1124">
        <f t="shared" si="2"/>
        <v>0</v>
      </c>
      <c r="D136" s="1126" t="b">
        <f>DS11.01!K22&lt;&gt;BO01.04!E7-BO01.04!E25-BO01.04!E36-BO01.04!E37</f>
        <v>0</v>
      </c>
    </row>
    <row r="137" spans="1:7" ht="54">
      <c r="A137" s="1118">
        <v>135</v>
      </c>
      <c r="B137" s="1119" t="s">
        <v>2477</v>
      </c>
      <c r="C137" s="1124">
        <f t="shared" si="2"/>
        <v>0</v>
      </c>
      <c r="D137" s="1126" t="b">
        <f>DD11.02!D22&lt;&gt;BL01.02!D30+BL01.02!D33-BL01.02!E30-BL01.02!E33</f>
        <v>0</v>
      </c>
    </row>
    <row r="138" spans="1:7" ht="36">
      <c r="A138" s="1118">
        <v>136</v>
      </c>
      <c r="B138" s="1119" t="s">
        <v>2478</v>
      </c>
      <c r="C138" s="1124">
        <f t="shared" si="2"/>
        <v>0</v>
      </c>
      <c r="D138" s="1126" t="b">
        <f>DD11.02!E22&lt;&gt;BL01.02!E30+BL01.02!E33</f>
        <v>0</v>
      </c>
    </row>
    <row r="139" spans="1:7" ht="36">
      <c r="A139" s="1118">
        <v>137</v>
      </c>
      <c r="B139" s="1119" t="s">
        <v>2479</v>
      </c>
      <c r="C139" s="1124">
        <f t="shared" si="2"/>
        <v>0</v>
      </c>
      <c r="D139" s="1126" t="b">
        <f>DD11.02!F22&lt;&gt;BL01.02!D31-BL01.02!E31</f>
        <v>0</v>
      </c>
    </row>
    <row r="140" spans="1:7" ht="36">
      <c r="A140" s="1118">
        <v>138</v>
      </c>
      <c r="B140" s="1119" t="s">
        <v>2480</v>
      </c>
      <c r="C140" s="1124">
        <f t="shared" si="2"/>
        <v>0</v>
      </c>
      <c r="D140" s="1126" t="b">
        <f>DD11.02!G22&lt;&gt;BL01.02!E31</f>
        <v>0</v>
      </c>
    </row>
    <row r="141" spans="1:7" ht="36">
      <c r="A141" s="1118">
        <v>139</v>
      </c>
      <c r="B141" s="1119" t="s">
        <v>2481</v>
      </c>
      <c r="C141" s="1124">
        <f t="shared" si="2"/>
        <v>0</v>
      </c>
      <c r="D141" s="1126" t="b">
        <f>DD11.02!H22&lt;&gt;BL01.02!D32-BL01.02!E32</f>
        <v>0</v>
      </c>
    </row>
    <row r="142" spans="1:7" ht="36">
      <c r="A142" s="1118">
        <v>140</v>
      </c>
      <c r="B142" s="1119" t="s">
        <v>2482</v>
      </c>
      <c r="C142" s="1124">
        <f t="shared" si="2"/>
        <v>0</v>
      </c>
      <c r="D142" s="1126" t="b">
        <f>DD11.02!I22&lt;&gt;BL01.02!E32</f>
        <v>0</v>
      </c>
    </row>
    <row r="143" spans="1:7" ht="36">
      <c r="A143" s="1118">
        <v>141</v>
      </c>
      <c r="B143" s="1119" t="s">
        <v>2483</v>
      </c>
      <c r="C143" s="1124">
        <f t="shared" si="2"/>
        <v>0</v>
      </c>
      <c r="D143" s="1126" t="b">
        <f>GA12.01!L10&lt;&gt;BA01.01!D10+BA01.01!D12</f>
        <v>0</v>
      </c>
    </row>
    <row r="144" spans="1:7" ht="36">
      <c r="A144" s="1118">
        <v>142</v>
      </c>
      <c r="B144" s="1119" t="s">
        <v>2484</v>
      </c>
      <c r="C144" s="1124">
        <f t="shared" si="2"/>
        <v>0</v>
      </c>
      <c r="D144" s="1126" t="b">
        <f>GA12.01!L11&lt;&gt;BA01.01!E10+BA01.01!E12</f>
        <v>0</v>
      </c>
    </row>
    <row r="145" spans="1:4" ht="90">
      <c r="A145" s="1118">
        <v>143</v>
      </c>
      <c r="B145" s="1119" t="s">
        <v>2485</v>
      </c>
      <c r="C145" s="1124">
        <f t="shared" si="2"/>
        <v>0</v>
      </c>
      <c r="D145" s="1126" t="b">
        <f>GA12.01!L12&lt;&gt;BA01.01!D13+BA01.01!D47+BA01.01!D88+BA01.01!D89-BA01.01!D17-BA01.01!D18-BA01.01!D23-BA01.01!D24-BA01.01!D29-BA01.01!D30-BA01.01!D35-BA01.01!D36</f>
        <v>0</v>
      </c>
    </row>
    <row r="146" spans="1:4" ht="90">
      <c r="A146" s="1118">
        <v>144</v>
      </c>
      <c r="B146" s="1119" t="s">
        <v>2486</v>
      </c>
      <c r="C146" s="1124">
        <f t="shared" si="2"/>
        <v>0</v>
      </c>
      <c r="D146" s="1126" t="b">
        <f>GA12.01!L13&lt;&gt;BA01.01!E13+BA01.01!E47+BA01.01!E88+BA01.01!E89-BA01.01!E17-BA01.01!E18-BA01.01!E23-BA01.01!E24-BA01.01!E29-BA01.01!E30-BA01.01!E35-BA01.01!E36</f>
        <v>0</v>
      </c>
    </row>
    <row r="147" spans="1:4" ht="54">
      <c r="A147" s="1118">
        <v>145</v>
      </c>
      <c r="B147" s="1119" t="s">
        <v>2487</v>
      </c>
      <c r="C147" s="1124">
        <f t="shared" si="2"/>
        <v>0</v>
      </c>
      <c r="D147" s="1126" t="b">
        <f>GA12.01!L14&lt;&gt;BA01.01!D17+BA01.01!D23+BA01.01!D29+BA01.01!D35</f>
        <v>0</v>
      </c>
    </row>
    <row r="148" spans="1:4" ht="54">
      <c r="A148" s="1118">
        <v>146</v>
      </c>
      <c r="B148" s="1119" t="s">
        <v>2488</v>
      </c>
      <c r="C148" s="1124">
        <f t="shared" si="2"/>
        <v>0</v>
      </c>
      <c r="D148" s="1126" t="b">
        <f>GA12.01!L15&lt;&gt;BA01.01!E17+BA01.01!E23+BA01.01!E29+BA01.01!E35</f>
        <v>0</v>
      </c>
    </row>
    <row r="149" spans="1:4" ht="36">
      <c r="A149" s="1118">
        <v>147</v>
      </c>
      <c r="B149" s="1119" t="s">
        <v>2489</v>
      </c>
      <c r="C149" s="1124">
        <f t="shared" si="2"/>
        <v>0</v>
      </c>
      <c r="D149" s="1126" t="b">
        <f>GA12.01!L16&lt;&gt;BA01.01!D38</f>
        <v>0</v>
      </c>
    </row>
    <row r="150" spans="1:4" ht="36">
      <c r="A150" s="1118">
        <v>148</v>
      </c>
      <c r="B150" s="1119" t="s">
        <v>2490</v>
      </c>
      <c r="C150" s="1124">
        <f t="shared" si="2"/>
        <v>0</v>
      </c>
      <c r="D150" s="1126" t="b">
        <f>GA12.01!L17&lt;&gt;BA01.01!E38</f>
        <v>0</v>
      </c>
    </row>
    <row r="151" spans="1:4" ht="36">
      <c r="A151" s="1118">
        <v>149</v>
      </c>
      <c r="B151" s="1119" t="s">
        <v>2491</v>
      </c>
      <c r="C151" s="1124">
        <f t="shared" si="2"/>
        <v>0</v>
      </c>
      <c r="D151" s="1126" t="b">
        <f>GA12.01!L18&lt;&gt;SI04.01!D9+SI04.01!D35+SI04.01!D61</f>
        <v>0</v>
      </c>
    </row>
    <row r="152" spans="1:4" ht="36">
      <c r="A152" s="1118">
        <v>150</v>
      </c>
      <c r="B152" s="1119" t="s">
        <v>2492</v>
      </c>
      <c r="C152" s="1124">
        <f t="shared" si="2"/>
        <v>0</v>
      </c>
      <c r="D152" s="1126" t="b">
        <f>GA12.01!L19&lt;&gt;SI04.01!E9+SI04.01!E35+SI04.01!E61</f>
        <v>0</v>
      </c>
    </row>
    <row r="153" spans="1:4" ht="36">
      <c r="A153" s="1118">
        <v>151</v>
      </c>
      <c r="B153" s="1119" t="s">
        <v>2493</v>
      </c>
      <c r="C153" s="1124">
        <f t="shared" si="2"/>
        <v>0</v>
      </c>
      <c r="D153" s="1126" t="b">
        <f>GA12.01!L20&lt;&gt;BA01.01!D50</f>
        <v>0</v>
      </c>
    </row>
    <row r="154" spans="1:4" ht="36">
      <c r="A154" s="1118">
        <v>152</v>
      </c>
      <c r="B154" s="1119" t="s">
        <v>2494</v>
      </c>
      <c r="C154" s="1124">
        <f t="shared" si="2"/>
        <v>0</v>
      </c>
      <c r="D154" s="1126" t="b">
        <f>GA12.01!L21&lt;&gt;BA01.01!E50</f>
        <v>0</v>
      </c>
    </row>
    <row r="155" spans="1:4" ht="36">
      <c r="A155" s="1118">
        <v>153</v>
      </c>
      <c r="B155" s="1119" t="s">
        <v>2495</v>
      </c>
      <c r="C155" s="1124">
        <f t="shared" si="2"/>
        <v>0</v>
      </c>
      <c r="D155" s="1126" t="b">
        <f>GA12.01!L22&lt;&gt;BA01.01!D61</f>
        <v>0</v>
      </c>
    </row>
    <row r="156" spans="1:4" ht="36">
      <c r="A156" s="1118">
        <v>154</v>
      </c>
      <c r="B156" s="1119" t="s">
        <v>2496</v>
      </c>
      <c r="C156" s="1124">
        <f t="shared" si="2"/>
        <v>0</v>
      </c>
      <c r="D156" s="1126" t="b">
        <f>GA12.01!L23&lt;&gt;BA01.01!E61</f>
        <v>0</v>
      </c>
    </row>
    <row r="157" spans="1:4" ht="54">
      <c r="A157" s="1118">
        <v>155</v>
      </c>
      <c r="B157" s="1119" t="s">
        <v>2497</v>
      </c>
      <c r="C157" s="1124">
        <f t="shared" si="2"/>
        <v>0</v>
      </c>
      <c r="D157" s="1126" t="b">
        <f>GA12.01!L24&lt;&gt;BA01.01!D18+BA01.01!D24+BA01.01!D30+BA01.01!D40</f>
        <v>0</v>
      </c>
    </row>
    <row r="158" spans="1:4" ht="54">
      <c r="A158" s="1118">
        <v>156</v>
      </c>
      <c r="B158" s="1119" t="s">
        <v>2498</v>
      </c>
      <c r="C158" s="1124">
        <f t="shared" si="2"/>
        <v>0</v>
      </c>
      <c r="D158" s="1126" t="b">
        <f>GA12.01!L25&lt;&gt;BA01.01!E18+BA01.01!E24+BA01.01!E30+BA01.01!E36</f>
        <v>0</v>
      </c>
    </row>
    <row r="159" spans="1:4" ht="36">
      <c r="A159" s="1118">
        <v>157</v>
      </c>
      <c r="B159" s="1119" t="s">
        <v>2499</v>
      </c>
      <c r="C159" s="1124">
        <f t="shared" si="2"/>
        <v>0</v>
      </c>
      <c r="D159" s="1126" t="b">
        <f>GA12.02!K10&lt;&gt;BL01.02!D7</f>
        <v>0</v>
      </c>
    </row>
    <row r="160" spans="1:4" ht="36">
      <c r="A160" s="1118">
        <v>158</v>
      </c>
      <c r="B160" s="1119" t="s">
        <v>2500</v>
      </c>
      <c r="C160" s="1124">
        <f t="shared" si="2"/>
        <v>0</v>
      </c>
      <c r="D160" s="1126" t="b">
        <f>GA12.02!K11&lt;&gt;BL01.02!E7</f>
        <v>0</v>
      </c>
    </row>
    <row r="161" spans="1:4" ht="72">
      <c r="A161" s="1118">
        <v>159</v>
      </c>
      <c r="B161" s="1119" t="s">
        <v>2501</v>
      </c>
      <c r="C161" s="1124">
        <f t="shared" si="2"/>
        <v>0</v>
      </c>
      <c r="D161" s="1126" t="b">
        <f>GA12.02!K12&lt;&gt;BL01.02!D8+BL01.02!D26+BL01.02!D38+BL01.02!D39-BL01.02!D12-BL01.02!D16-BL01.02!D20-BL01.02!D24</f>
        <v>0</v>
      </c>
    </row>
    <row r="162" spans="1:4" ht="72">
      <c r="A162" s="1118">
        <v>160</v>
      </c>
      <c r="B162" s="1119" t="s">
        <v>2502</v>
      </c>
      <c r="C162" s="1124">
        <f t="shared" si="2"/>
        <v>0</v>
      </c>
      <c r="D162" s="1126" t="b">
        <f>GA12.02!K13&lt;&gt;BL01.02!E8+BL01.02!E26+BL01.02!E38+BL01.02!E39-BL01.02!E12-BL01.02!E16-BL01.02!E20-BL01.02!E24</f>
        <v>0</v>
      </c>
    </row>
    <row r="163" spans="1:4" ht="54">
      <c r="A163" s="1118">
        <v>161</v>
      </c>
      <c r="B163" s="1119" t="s">
        <v>2503</v>
      </c>
      <c r="C163" s="1124">
        <f t="shared" si="2"/>
        <v>0</v>
      </c>
      <c r="D163" s="1126" t="b">
        <f>GA12.02!K14&lt;&gt;BL01.02!D12+BL01.02!D16+BL01.02!D20+BL01.02!D24</f>
        <v>0</v>
      </c>
    </row>
    <row r="164" spans="1:4" ht="54">
      <c r="A164" s="1118">
        <v>162</v>
      </c>
      <c r="B164" s="1119" t="s">
        <v>2504</v>
      </c>
      <c r="C164" s="1124">
        <f t="shared" si="2"/>
        <v>0</v>
      </c>
      <c r="D164" s="1126" t="b">
        <f>GA12.02!K15&lt;&gt;BL01.02!E12+BL01.02!E16+BL01.02!E20+BL01.02!E24</f>
        <v>0</v>
      </c>
    </row>
    <row r="165" spans="1:4" ht="36">
      <c r="A165" s="1118">
        <v>163</v>
      </c>
      <c r="B165" s="1119" t="s">
        <v>2505</v>
      </c>
      <c r="C165" s="1124">
        <f t="shared" si="2"/>
        <v>0</v>
      </c>
      <c r="D165" s="1126" t="b">
        <f>GA12.02!K16&lt;&gt;BL01.02!D25</f>
        <v>0</v>
      </c>
    </row>
    <row r="166" spans="1:4" ht="36">
      <c r="A166" s="1118">
        <v>164</v>
      </c>
      <c r="B166" s="1119" t="s">
        <v>2506</v>
      </c>
      <c r="C166" s="1124">
        <f t="shared" si="2"/>
        <v>0</v>
      </c>
      <c r="D166" s="1126" t="b">
        <f>GA12.02!K17&lt;&gt;BL01.02!E25</f>
        <v>0</v>
      </c>
    </row>
    <row r="167" spans="1:4" ht="36">
      <c r="A167" s="1118">
        <v>165</v>
      </c>
      <c r="B167" s="1119" t="s">
        <v>2507</v>
      </c>
      <c r="C167" s="1124">
        <f t="shared" si="2"/>
        <v>0</v>
      </c>
      <c r="D167" s="1126" t="b">
        <f>GA12.02!K18&lt;&gt;BL01.02!D34</f>
        <v>0</v>
      </c>
    </row>
    <row r="168" spans="1:4" ht="36">
      <c r="A168" s="1118">
        <v>166</v>
      </c>
      <c r="B168" s="1119" t="s">
        <v>2508</v>
      </c>
      <c r="C168" s="1124">
        <f t="shared" si="2"/>
        <v>0</v>
      </c>
      <c r="D168" s="1126" t="b">
        <f>GA12.02!K19&lt;&gt;BL01.02!E34</f>
        <v>0</v>
      </c>
    </row>
    <row r="169" spans="1:4" ht="36">
      <c r="A169" s="1118">
        <v>167</v>
      </c>
      <c r="B169" s="1119" t="s">
        <v>2509</v>
      </c>
      <c r="C169" s="1124">
        <f t="shared" si="2"/>
        <v>0</v>
      </c>
      <c r="D169" s="1126" t="b">
        <f>GA12.02!K20&lt;&gt;BL01.02!D29+BL01.02!D33</f>
        <v>0</v>
      </c>
    </row>
    <row r="170" spans="1:4" ht="36">
      <c r="A170" s="1118">
        <v>168</v>
      </c>
      <c r="B170" s="1119" t="s">
        <v>2510</v>
      </c>
      <c r="C170" s="1124">
        <f t="shared" si="2"/>
        <v>0</v>
      </c>
      <c r="D170" s="1126" t="b">
        <f>GA12.02!K21&lt;&gt;BL01.02!E29+BL01.02!E33</f>
        <v>0</v>
      </c>
    </row>
    <row r="171" spans="1:4" ht="36">
      <c r="A171" s="1118">
        <v>169</v>
      </c>
      <c r="B171" s="1119" t="s">
        <v>2511</v>
      </c>
      <c r="C171" s="1124">
        <f t="shared" si="2"/>
        <v>0</v>
      </c>
      <c r="D171" s="1126" t="b">
        <f>GA12.02!K22&lt;&gt;BL01.02!D35</f>
        <v>0</v>
      </c>
    </row>
    <row r="172" spans="1:4" ht="36">
      <c r="A172" s="1118">
        <v>170</v>
      </c>
      <c r="B172" s="1119" t="s">
        <v>2512</v>
      </c>
      <c r="C172" s="1124">
        <f t="shared" si="2"/>
        <v>0</v>
      </c>
      <c r="D172" s="1126" t="b">
        <f>GA12.02!K23&lt;&gt;BL01.02!E35</f>
        <v>0</v>
      </c>
    </row>
    <row r="173" spans="1:4" ht="36">
      <c r="A173" s="1118">
        <v>171</v>
      </c>
      <c r="B173" s="1119" t="s">
        <v>2513</v>
      </c>
      <c r="C173" s="1124">
        <f t="shared" si="2"/>
        <v>0</v>
      </c>
      <c r="D173" s="1126" t="b">
        <f>RM12.03!L10&lt;&gt;GA12.01!L10</f>
        <v>0</v>
      </c>
    </row>
    <row r="174" spans="1:4" ht="36">
      <c r="A174" s="1118">
        <v>172</v>
      </c>
      <c r="B174" s="1119" t="s">
        <v>2514</v>
      </c>
      <c r="C174" s="1124">
        <f t="shared" si="2"/>
        <v>0</v>
      </c>
      <c r="D174" s="1126" t="b">
        <f>RM12.03!L11&lt;&gt;GA12.01!L11</f>
        <v>0</v>
      </c>
    </row>
    <row r="175" spans="1:4" ht="36">
      <c r="A175" s="1118">
        <v>173</v>
      </c>
      <c r="B175" s="1119" t="s">
        <v>2515</v>
      </c>
      <c r="C175" s="1124">
        <f t="shared" si="2"/>
        <v>0</v>
      </c>
      <c r="D175" s="1126" t="b">
        <f>RM12.03!L12&lt;&gt;GA12.01!L12</f>
        <v>0</v>
      </c>
    </row>
    <row r="176" spans="1:4" ht="36">
      <c r="A176" s="1118">
        <v>174</v>
      </c>
      <c r="B176" s="1119" t="s">
        <v>2516</v>
      </c>
      <c r="C176" s="1124">
        <f t="shared" si="2"/>
        <v>0</v>
      </c>
      <c r="D176" s="1126" t="b">
        <f>RM12.03!L13&lt;&gt;GA12.01!L13</f>
        <v>0</v>
      </c>
    </row>
    <row r="177" spans="1:4" ht="36">
      <c r="A177" s="1118">
        <v>175</v>
      </c>
      <c r="B177" s="1119" t="s">
        <v>2517</v>
      </c>
      <c r="C177" s="1124">
        <f t="shared" si="2"/>
        <v>0</v>
      </c>
      <c r="D177" s="1126" t="b">
        <f>RM12.03!L14&lt;&gt;GA12.01!L14</f>
        <v>0</v>
      </c>
    </row>
    <row r="178" spans="1:4" ht="36">
      <c r="A178" s="1118">
        <v>176</v>
      </c>
      <c r="B178" s="1119" t="s">
        <v>2518</v>
      </c>
      <c r="C178" s="1124">
        <f t="shared" si="2"/>
        <v>0</v>
      </c>
      <c r="D178" s="1126" t="b">
        <f>RM12.03!L15&lt;&gt;GA12.01!L15</f>
        <v>0</v>
      </c>
    </row>
    <row r="179" spans="1:4" ht="36">
      <c r="A179" s="1118">
        <v>177</v>
      </c>
      <c r="B179" s="1119" t="s">
        <v>2519</v>
      </c>
      <c r="C179" s="1124">
        <f t="shared" si="2"/>
        <v>0</v>
      </c>
      <c r="D179" s="1126" t="b">
        <f>RM12.03!L16&lt;&gt;GA12.01!L16</f>
        <v>0</v>
      </c>
    </row>
    <row r="180" spans="1:4" ht="36">
      <c r="A180" s="1118">
        <v>178</v>
      </c>
      <c r="B180" s="1119" t="s">
        <v>2520</v>
      </c>
      <c r="C180" s="1124">
        <f t="shared" si="2"/>
        <v>0</v>
      </c>
      <c r="D180" s="1126" t="b">
        <f>RM12.03!L17&lt;&gt;GA12.01!L17</f>
        <v>0</v>
      </c>
    </row>
    <row r="181" spans="1:4" ht="36">
      <c r="A181" s="1118">
        <v>179</v>
      </c>
      <c r="B181" s="1119" t="s">
        <v>2521</v>
      </c>
      <c r="C181" s="1124">
        <f t="shared" si="2"/>
        <v>0</v>
      </c>
      <c r="D181" s="1126" t="b">
        <f>RM12.03!L17&lt;&gt;GA12.01!L17</f>
        <v>0</v>
      </c>
    </row>
    <row r="182" spans="1:4" ht="36">
      <c r="A182" s="1118">
        <v>180</v>
      </c>
      <c r="B182" s="1119" t="s">
        <v>2522</v>
      </c>
      <c r="C182" s="1124">
        <f t="shared" si="2"/>
        <v>0</v>
      </c>
      <c r="D182" s="1126" t="b">
        <f>RM12.03!L19&lt;&gt;GA12.01!L19</f>
        <v>0</v>
      </c>
    </row>
    <row r="183" spans="1:4" ht="36">
      <c r="A183" s="1118">
        <v>181</v>
      </c>
      <c r="B183" s="1119" t="s">
        <v>2523</v>
      </c>
      <c r="C183" s="1124">
        <f t="shared" si="2"/>
        <v>0</v>
      </c>
      <c r="D183" s="1126" t="b">
        <f>RM12.03!L20&lt;&gt;GA12.01!L20</f>
        <v>0</v>
      </c>
    </row>
    <row r="184" spans="1:4" ht="36">
      <c r="A184" s="1118">
        <v>182</v>
      </c>
      <c r="B184" s="1119" t="s">
        <v>2524</v>
      </c>
      <c r="C184" s="1124">
        <f t="shared" si="2"/>
        <v>0</v>
      </c>
      <c r="D184" s="1126" t="b">
        <f>RM12.03!L21&lt;&gt;GA12.01!L21</f>
        <v>0</v>
      </c>
    </row>
    <row r="185" spans="1:4" ht="36">
      <c r="A185" s="1118">
        <v>183</v>
      </c>
      <c r="B185" s="1119" t="s">
        <v>2525</v>
      </c>
      <c r="C185" s="1124">
        <f t="shared" si="2"/>
        <v>0</v>
      </c>
      <c r="D185" s="1126" t="b">
        <f>RM12.03!L22&lt;&gt;GA12.01!L22</f>
        <v>0</v>
      </c>
    </row>
    <row r="186" spans="1:4" ht="36">
      <c r="A186" s="1118">
        <v>184</v>
      </c>
      <c r="B186" s="1119" t="s">
        <v>2526</v>
      </c>
      <c r="C186" s="1124">
        <f t="shared" si="2"/>
        <v>0</v>
      </c>
      <c r="D186" s="1126" t="b">
        <f>RM12.03!L23&lt;&gt;GA12.01!L23</f>
        <v>0</v>
      </c>
    </row>
    <row r="187" spans="1:4" ht="36">
      <c r="A187" s="1118">
        <v>185</v>
      </c>
      <c r="B187" s="1119" t="s">
        <v>2527</v>
      </c>
      <c r="C187" s="1124">
        <f t="shared" si="2"/>
        <v>0</v>
      </c>
      <c r="D187" s="1126" t="b">
        <f>RM12.04!K10&lt;&gt;GA12.02!K10</f>
        <v>0</v>
      </c>
    </row>
    <row r="188" spans="1:4" ht="36">
      <c r="A188" s="1118">
        <v>186</v>
      </c>
      <c r="B188" s="1119" t="s">
        <v>2528</v>
      </c>
      <c r="C188" s="1124">
        <f t="shared" si="2"/>
        <v>0</v>
      </c>
      <c r="D188" s="1126" t="b">
        <f>RM12.04!K11&lt;&gt;GA12.02!K11</f>
        <v>0</v>
      </c>
    </row>
    <row r="189" spans="1:4" ht="36">
      <c r="A189" s="1118">
        <v>187</v>
      </c>
      <c r="B189" s="1119" t="s">
        <v>2529</v>
      </c>
      <c r="C189" s="1124">
        <f t="shared" si="2"/>
        <v>0</v>
      </c>
      <c r="D189" s="1126" t="b">
        <f>RM12.04!K12&lt;&gt;GA12.02!K12</f>
        <v>0</v>
      </c>
    </row>
    <row r="190" spans="1:4" ht="36">
      <c r="A190" s="1118">
        <v>188</v>
      </c>
      <c r="B190" s="1119" t="s">
        <v>2530</v>
      </c>
      <c r="C190" s="1124">
        <f t="shared" si="2"/>
        <v>0</v>
      </c>
      <c r="D190" s="1126" t="b">
        <f>RM12.04!K13&lt;&gt;GA12.02!K13</f>
        <v>0</v>
      </c>
    </row>
    <row r="191" spans="1:4" ht="36">
      <c r="A191" s="1118">
        <v>189</v>
      </c>
      <c r="B191" s="1119" t="s">
        <v>2531</v>
      </c>
      <c r="C191" s="1124">
        <f t="shared" si="2"/>
        <v>0</v>
      </c>
      <c r="D191" s="1126" t="b">
        <f>RM12.04!K14&lt;&gt;GA12.02!K14</f>
        <v>0</v>
      </c>
    </row>
    <row r="192" spans="1:4" ht="36">
      <c r="A192" s="1118">
        <v>190</v>
      </c>
      <c r="B192" s="1119" t="s">
        <v>2532</v>
      </c>
      <c r="C192" s="1124">
        <f t="shared" si="2"/>
        <v>0</v>
      </c>
      <c r="D192" s="1126" t="b">
        <f>RM12.04!K15&lt;&gt;GA12.02!K15</f>
        <v>0</v>
      </c>
    </row>
    <row r="193" spans="1:4" ht="36">
      <c r="A193" s="1118">
        <v>191</v>
      </c>
      <c r="B193" s="1119" t="s">
        <v>2533</v>
      </c>
      <c r="C193" s="1124">
        <f t="shared" si="2"/>
        <v>0</v>
      </c>
      <c r="D193" s="1126" t="b">
        <f>RM12.04!K16&lt;&gt;GA12.02!K16</f>
        <v>0</v>
      </c>
    </row>
    <row r="194" spans="1:4" ht="36">
      <c r="A194" s="1118">
        <v>192</v>
      </c>
      <c r="B194" s="1119" t="s">
        <v>2534</v>
      </c>
      <c r="C194" s="1124">
        <f t="shared" si="2"/>
        <v>0</v>
      </c>
      <c r="D194" s="1126" t="b">
        <f>RM12.04!K17&lt;&gt;GA12.02!K17</f>
        <v>0</v>
      </c>
    </row>
    <row r="195" spans="1:4" ht="36">
      <c r="A195" s="1118">
        <v>193</v>
      </c>
      <c r="B195" s="1119" t="s">
        <v>2535</v>
      </c>
      <c r="C195" s="1124">
        <f t="shared" si="2"/>
        <v>0</v>
      </c>
      <c r="D195" s="1126" t="b">
        <f>RM12.04!K18&lt;&gt;GA12.02!K18</f>
        <v>0</v>
      </c>
    </row>
    <row r="196" spans="1:4" ht="36">
      <c r="A196" s="1118">
        <v>194</v>
      </c>
      <c r="B196" s="1119" t="s">
        <v>2536</v>
      </c>
      <c r="C196" s="1124">
        <f t="shared" ref="C196:C246" si="3">IF(D196=FALSE,0,1)</f>
        <v>0</v>
      </c>
      <c r="D196" s="1126" t="b">
        <f>RM12.04!K19&lt;&gt;GA12.02!K19</f>
        <v>0</v>
      </c>
    </row>
    <row r="197" spans="1:4" ht="36">
      <c r="A197" s="1118">
        <v>195</v>
      </c>
      <c r="B197" s="1119" t="s">
        <v>2537</v>
      </c>
      <c r="C197" s="1124">
        <f t="shared" si="3"/>
        <v>0</v>
      </c>
      <c r="D197" s="1126" t="b">
        <f>RM12.04!K20&lt;&gt;GA12.02!K20</f>
        <v>0</v>
      </c>
    </row>
    <row r="198" spans="1:4" ht="36">
      <c r="A198" s="1118">
        <v>196</v>
      </c>
      <c r="B198" s="1119" t="s">
        <v>2538</v>
      </c>
      <c r="C198" s="1124">
        <f t="shared" si="3"/>
        <v>0</v>
      </c>
      <c r="D198" s="1126" t="b">
        <f>RM12.04!K21&lt;&gt;GA12.02!K21</f>
        <v>0</v>
      </c>
    </row>
    <row r="199" spans="1:4" ht="36">
      <c r="A199" s="1118">
        <v>197</v>
      </c>
      <c r="B199" s="1119" t="s">
        <v>2539</v>
      </c>
      <c r="C199" s="1124">
        <f t="shared" si="3"/>
        <v>0</v>
      </c>
      <c r="D199" s="1126" t="b">
        <f>RM12.04!K22&lt;&gt;GA12.02!K22</f>
        <v>0</v>
      </c>
    </row>
    <row r="200" spans="1:4" ht="36">
      <c r="A200" s="1118">
        <v>198</v>
      </c>
      <c r="B200" s="1119" t="s">
        <v>2540</v>
      </c>
      <c r="C200" s="1124">
        <f t="shared" si="3"/>
        <v>0</v>
      </c>
      <c r="D200" s="1126" t="b">
        <f>RM12.04!K23&lt;&gt;GA12.02!K23</f>
        <v>0</v>
      </c>
    </row>
    <row r="201" spans="1:4" ht="36">
      <c r="A201" s="1118">
        <v>199</v>
      </c>
      <c r="B201" s="1119" t="s">
        <v>2541</v>
      </c>
      <c r="C201" s="1124">
        <f t="shared" si="3"/>
        <v>0</v>
      </c>
      <c r="D201" s="1126" t="b">
        <f>DA13.01!I23&lt;&gt;BL01.02!D30-BL01.02!E30</f>
        <v>0</v>
      </c>
    </row>
    <row r="202" spans="1:4" ht="36">
      <c r="A202" s="1118">
        <v>200</v>
      </c>
      <c r="B202" s="1119" t="s">
        <v>2542</v>
      </c>
      <c r="C202" s="1124">
        <f t="shared" si="3"/>
        <v>0</v>
      </c>
      <c r="D202" s="1126" t="b">
        <f>DA13.01!I43&lt;&gt;BL01.02!E30</f>
        <v>0</v>
      </c>
    </row>
    <row r="203" spans="1:4" ht="36">
      <c r="A203" s="1118">
        <v>201</v>
      </c>
      <c r="B203" s="1119" t="s">
        <v>2543</v>
      </c>
      <c r="C203" s="1124">
        <f t="shared" si="3"/>
        <v>0</v>
      </c>
      <c r="D203" s="1126" t="b">
        <f>DA13.03!I23&lt;&gt;BL01.02!D32-BL01.02!E32</f>
        <v>0</v>
      </c>
    </row>
    <row r="204" spans="1:4" ht="36">
      <c r="A204" s="1118">
        <v>202</v>
      </c>
      <c r="B204" s="1119" t="s">
        <v>2544</v>
      </c>
      <c r="C204" s="1124">
        <f t="shared" si="3"/>
        <v>0</v>
      </c>
      <c r="D204" s="1126" t="b">
        <f>DA13.03!I43&lt;&gt;BL01.02!E32</f>
        <v>0</v>
      </c>
    </row>
    <row r="205" spans="1:4" ht="36">
      <c r="A205" s="1118">
        <v>203</v>
      </c>
      <c r="B205" s="1119" t="s">
        <v>2545</v>
      </c>
      <c r="C205" s="1124">
        <f t="shared" si="3"/>
        <v>1</v>
      </c>
      <c r="D205" s="1126" t="b">
        <f>DA13.05!I23&lt;&gt;BL01.02!D31-BL01.02!E31</f>
        <v>1</v>
      </c>
    </row>
    <row r="206" spans="1:4" ht="36">
      <c r="A206" s="1118">
        <v>204</v>
      </c>
      <c r="B206" s="1119" t="s">
        <v>2546</v>
      </c>
      <c r="C206" s="1124">
        <f t="shared" si="3"/>
        <v>0</v>
      </c>
      <c r="D206" s="1126" t="b">
        <f>DA13.05!I43&lt;&gt;BL01.02!E31</f>
        <v>0</v>
      </c>
    </row>
    <row r="207" spans="1:4" ht="36">
      <c r="A207" s="1118">
        <v>205</v>
      </c>
      <c r="B207" s="1119" t="s">
        <v>2547</v>
      </c>
      <c r="C207" s="1124">
        <f t="shared" si="3"/>
        <v>0</v>
      </c>
      <c r="D207" s="1126" t="b">
        <f>CA15.01!D7&lt;&gt;BA01.01!D9</f>
        <v>0</v>
      </c>
    </row>
    <row r="208" spans="1:4" ht="36">
      <c r="A208" s="1118">
        <v>206</v>
      </c>
      <c r="B208" s="1119" t="s">
        <v>2548</v>
      </c>
      <c r="C208" s="1124">
        <f t="shared" si="3"/>
        <v>0</v>
      </c>
      <c r="D208" s="1126" t="b">
        <f>CA15.01!D8&lt;&gt;BA01.01!D7</f>
        <v>0</v>
      </c>
    </row>
    <row r="209" spans="1:4" ht="36">
      <c r="A209" s="1118">
        <v>207</v>
      </c>
      <c r="B209" s="1119" t="s">
        <v>2549</v>
      </c>
      <c r="C209" s="1124">
        <f t="shared" si="3"/>
        <v>0</v>
      </c>
      <c r="D209" s="1126" t="b">
        <f>CA15.01!D9&lt;&gt;BA01.01!D8</f>
        <v>0</v>
      </c>
    </row>
    <row r="210" spans="1:4" ht="36">
      <c r="A210" s="1118">
        <v>208</v>
      </c>
      <c r="B210" s="1119" t="s">
        <v>2550</v>
      </c>
      <c r="C210" s="1124">
        <f t="shared" si="3"/>
        <v>0</v>
      </c>
      <c r="D210" s="1126" t="b">
        <f>CA15.01!D10&lt;&gt;BA01.01!D26+BA01.01!D49-CA15.01!D20</f>
        <v>0</v>
      </c>
    </row>
    <row r="211" spans="1:4" ht="36">
      <c r="A211" s="1118">
        <v>209</v>
      </c>
      <c r="B211" s="1119" t="s">
        <v>2551</v>
      </c>
      <c r="C211" s="1124">
        <f t="shared" si="3"/>
        <v>0</v>
      </c>
      <c r="D211" s="1126" t="b">
        <f>CA15.01!D15&lt;&gt;BA01.01!D14+BA01.01!D48</f>
        <v>0</v>
      </c>
    </row>
    <row r="212" spans="1:4" ht="36">
      <c r="A212" s="1118">
        <v>210</v>
      </c>
      <c r="B212" s="1119" t="s">
        <v>2552</v>
      </c>
      <c r="C212" s="1124">
        <f t="shared" si="3"/>
        <v>0</v>
      </c>
      <c r="D212" s="1126" t="b">
        <f>CA15.01!D19&lt;&gt;BA01.01!D48</f>
        <v>0</v>
      </c>
    </row>
    <row r="213" spans="1:4" ht="36">
      <c r="A213" s="1118">
        <v>211</v>
      </c>
      <c r="B213" s="1119" t="s">
        <v>2553</v>
      </c>
      <c r="C213" s="1124">
        <f t="shared" si="3"/>
        <v>0</v>
      </c>
      <c r="D213" s="1126" t="b">
        <f>CA15.01!D25&lt;&gt;BA01.01!D38</f>
        <v>0</v>
      </c>
    </row>
    <row r="214" spans="1:4" ht="36">
      <c r="A214" s="1118">
        <v>212</v>
      </c>
      <c r="B214" s="1119" t="s">
        <v>2554</v>
      </c>
      <c r="C214" s="1124">
        <f t="shared" si="3"/>
        <v>0</v>
      </c>
      <c r="D214" s="1126" t="b">
        <f>CA15.02!D7&lt;&gt;BA01.01!D40+BA01.01!D70</f>
        <v>0</v>
      </c>
    </row>
    <row r="215" spans="1:4" ht="36">
      <c r="A215" s="1118">
        <v>213</v>
      </c>
      <c r="B215" s="1119" t="s">
        <v>2555</v>
      </c>
      <c r="C215" s="1124">
        <f t="shared" si="3"/>
        <v>0</v>
      </c>
      <c r="D215" s="1126" t="b">
        <f>CA15.02!D8&lt;&gt;BA01.01!D43+BA01.01!D73</f>
        <v>0</v>
      </c>
    </row>
    <row r="216" spans="1:4" ht="54">
      <c r="A216" s="1118">
        <v>214</v>
      </c>
      <c r="B216" s="1119" t="s">
        <v>2556</v>
      </c>
      <c r="C216" s="1124">
        <f t="shared" si="3"/>
        <v>0</v>
      </c>
      <c r="D216" s="1126" t="b">
        <f>CA15.02!D9&lt;&gt;SI04.01!D13+SI04.01!D26+SI04.01!D39+SI04.01!D52+SI04.01!D65+SI04.01!D78</f>
        <v>0</v>
      </c>
    </row>
    <row r="217" spans="1:4" ht="36">
      <c r="A217" s="1118">
        <v>215</v>
      </c>
      <c r="B217" s="1119" t="s">
        <v>2557</v>
      </c>
      <c r="C217" s="1124">
        <f t="shared" si="3"/>
        <v>0</v>
      </c>
      <c r="D217" s="1126" t="b">
        <f>CA15.02!D10&lt;&gt;SI04.01!D16+SI04.01!D42+SI04.01!D68</f>
        <v>0</v>
      </c>
    </row>
    <row r="218" spans="1:4" ht="54">
      <c r="A218" s="1118">
        <v>216</v>
      </c>
      <c r="B218" s="1119" t="s">
        <v>2558</v>
      </c>
      <c r="C218" s="1124">
        <f t="shared" si="3"/>
        <v>0</v>
      </c>
      <c r="D218" s="1126" t="b">
        <f>CA15.02!D11&lt;&gt;SI04.01!D21+SI04.01!D47+SI04.01!D73-CA15.02!D13</f>
        <v>0</v>
      </c>
    </row>
    <row r="219" spans="1:4" ht="36">
      <c r="A219" s="1118">
        <v>217</v>
      </c>
      <c r="B219" s="1119" t="s">
        <v>2559</v>
      </c>
      <c r="C219" s="1124">
        <f t="shared" si="3"/>
        <v>0</v>
      </c>
      <c r="D219" s="1126" t="b">
        <f>CA15.02!D12&lt;&gt;SI04.01!D20+SI04.01!D46+SI04.01!D72</f>
        <v>0</v>
      </c>
    </row>
    <row r="220" spans="1:4" ht="36">
      <c r="A220" s="1118">
        <v>218</v>
      </c>
      <c r="B220" s="1119" t="s">
        <v>2560</v>
      </c>
      <c r="C220" s="1124">
        <f t="shared" si="3"/>
        <v>0</v>
      </c>
      <c r="D220" s="1126" t="b">
        <f>CA15.02!D14&lt;&gt;SI04.01!D14+SI04.01!D40+SI04.01!D66</f>
        <v>0</v>
      </c>
    </row>
    <row r="221" spans="1:4" ht="36">
      <c r="A221" s="1118">
        <v>219</v>
      </c>
      <c r="B221" s="1119" t="s">
        <v>2561</v>
      </c>
      <c r="C221" s="1124">
        <f t="shared" si="3"/>
        <v>0</v>
      </c>
      <c r="D221" s="1126" t="b">
        <f>CA15.02!D15&lt;&gt;SI04.01!D15+SI04.01!D41+SI04.01!D67</f>
        <v>0</v>
      </c>
    </row>
    <row r="222" spans="1:4" ht="36">
      <c r="A222" s="1118">
        <v>220</v>
      </c>
      <c r="B222" s="1119" t="s">
        <v>2562</v>
      </c>
      <c r="C222" s="1124">
        <f t="shared" si="3"/>
        <v>0</v>
      </c>
      <c r="D222" s="1126" t="b">
        <f>CA15.02!D16&lt;&gt;SI04.01!D22+SI04.01!D48+SI04.01!D74</f>
        <v>0</v>
      </c>
    </row>
    <row r="223" spans="1:4" ht="36">
      <c r="A223" s="1118">
        <v>221</v>
      </c>
      <c r="B223" s="1119" t="s">
        <v>2563</v>
      </c>
      <c r="C223" s="1124">
        <f t="shared" si="3"/>
        <v>0</v>
      </c>
      <c r="D223" s="1126" t="b">
        <f>CA15.02!D17&lt;&gt;SI04.01!D17+SI04.01!D43+SI04.01!D69</f>
        <v>0</v>
      </c>
    </row>
    <row r="224" spans="1:4" ht="54">
      <c r="A224" s="1118">
        <v>222</v>
      </c>
      <c r="B224" s="1119" t="s">
        <v>2564</v>
      </c>
      <c r="C224" s="1124">
        <f t="shared" si="3"/>
        <v>0</v>
      </c>
      <c r="D224" s="1126" t="b">
        <f>CA15.02!D18&lt;&gt;SI04.01!D18+SI04.01!D30+SI04.01!D44+SI04.01!D56+SI04.01!D70+SI04.01!D82</f>
        <v>0</v>
      </c>
    </row>
    <row r="225" spans="1:4" ht="54">
      <c r="A225" s="1118">
        <v>223</v>
      </c>
      <c r="B225" s="1119" t="s">
        <v>2565</v>
      </c>
      <c r="C225" s="1124">
        <f t="shared" si="3"/>
        <v>0</v>
      </c>
      <c r="D225" s="1126" t="b">
        <f>CA15.02!D19&lt;&gt;SI04.01!D19+SI04.01!D31+SI04.01!D45+SI04.01!D57+SI04.01!D71+SI04.01!D83</f>
        <v>0</v>
      </c>
    </row>
    <row r="226" spans="1:4" ht="36">
      <c r="A226" s="1118">
        <v>224</v>
      </c>
      <c r="B226" s="1119" t="s">
        <v>2566</v>
      </c>
      <c r="C226" s="1124">
        <f t="shared" si="3"/>
        <v>0</v>
      </c>
      <c r="D226" s="1125" t="b">
        <f>CA15.03!D7&lt;&gt;BA01.01!D50</f>
        <v>0</v>
      </c>
    </row>
    <row r="227" spans="1:4" ht="36">
      <c r="A227" s="1118">
        <v>225</v>
      </c>
      <c r="B227" s="1119" t="s">
        <v>2568</v>
      </c>
      <c r="C227" s="1124">
        <f t="shared" si="3"/>
        <v>0</v>
      </c>
      <c r="D227" s="1126" t="b">
        <f>CA15.03!D15&lt;&gt;BA01.01!D77-BA01.01!D84</f>
        <v>0</v>
      </c>
    </row>
    <row r="228" spans="1:4" ht="36">
      <c r="A228" s="1118">
        <v>226</v>
      </c>
      <c r="B228" s="1119" t="s">
        <v>2569</v>
      </c>
      <c r="C228" s="1124">
        <f t="shared" si="3"/>
        <v>0</v>
      </c>
      <c r="D228" s="1126" t="b">
        <f>CA15.03!D16&lt;&gt;BA01.01!D86+BA01.01!D96-BA01.01!D90</f>
        <v>0</v>
      </c>
    </row>
    <row r="229" spans="1:4" ht="36">
      <c r="A229" s="1118">
        <v>227</v>
      </c>
      <c r="B229" s="1123" t="s">
        <v>2643</v>
      </c>
      <c r="C229" s="1124">
        <f t="shared" si="3"/>
        <v>0</v>
      </c>
      <c r="D229" s="1126" t="b">
        <f>CA15.03!D27&lt;&gt;BA01.01!D61</f>
        <v>0</v>
      </c>
    </row>
    <row r="230" spans="1:4" ht="36">
      <c r="A230" s="1118">
        <v>228</v>
      </c>
      <c r="B230" s="1119" t="s">
        <v>2644</v>
      </c>
      <c r="C230" s="1124">
        <f t="shared" si="3"/>
        <v>0</v>
      </c>
      <c r="D230" s="1126" t="b">
        <f>CA15.05!D20&lt;&gt;BA01.01!D84</f>
        <v>0</v>
      </c>
    </row>
    <row r="231" spans="1:4" ht="36">
      <c r="A231" s="1118">
        <v>229</v>
      </c>
      <c r="B231" s="1123" t="s">
        <v>2645</v>
      </c>
      <c r="C231" s="1124">
        <f t="shared" si="3"/>
        <v>0</v>
      </c>
      <c r="D231" s="1126" t="b">
        <f>CA15.05!D27&gt;BC01.03!D23</f>
        <v>0</v>
      </c>
    </row>
    <row r="232" spans="1:4" ht="36">
      <c r="A232" s="1118">
        <v>230</v>
      </c>
      <c r="B232" s="1123" t="s">
        <v>2646</v>
      </c>
      <c r="C232" s="1124">
        <f t="shared" si="3"/>
        <v>0</v>
      </c>
      <c r="D232" s="1126" t="b">
        <f>CA15.05!D28&lt;&gt;BC01.03!D19</f>
        <v>0</v>
      </c>
    </row>
    <row r="233" spans="1:4" ht="36">
      <c r="A233" s="1118">
        <v>231</v>
      </c>
      <c r="B233" s="1123" t="s">
        <v>2647</v>
      </c>
      <c r="C233" s="1124">
        <f t="shared" si="3"/>
        <v>0</v>
      </c>
      <c r="D233" s="1126" t="b">
        <f>CA15.05!D29&gt;BC01.03!D22</f>
        <v>0</v>
      </c>
    </row>
    <row r="234" spans="1:4" ht="36">
      <c r="A234" s="1118">
        <v>232</v>
      </c>
      <c r="B234" s="1123" t="s">
        <v>2648</v>
      </c>
      <c r="C234" s="1124">
        <f t="shared" si="3"/>
        <v>0</v>
      </c>
      <c r="D234" s="1126" t="b">
        <f>CA15.05!D30&gt;BC01.03!D23-CA15.05!D27</f>
        <v>0</v>
      </c>
    </row>
    <row r="235" spans="1:4" ht="36">
      <c r="A235" s="1118">
        <v>233</v>
      </c>
      <c r="B235" s="1123" t="s">
        <v>2649</v>
      </c>
      <c r="C235" s="1124">
        <f t="shared" si="3"/>
        <v>0</v>
      </c>
      <c r="D235" s="1126" t="b">
        <f>CA15.05!D33&gt;BC01.03!D24</f>
        <v>0</v>
      </c>
    </row>
    <row r="236" spans="1:4" ht="72">
      <c r="A236" s="1118">
        <v>234</v>
      </c>
      <c r="B236" s="1123" t="s">
        <v>2650</v>
      </c>
      <c r="C236" s="1124">
        <f t="shared" si="3"/>
        <v>0</v>
      </c>
      <c r="D236" s="1126" t="b">
        <f>CA15.05!D35&lt;&gt;SI04.01!D27+SI04.01!D28+SI04.01!D29+SI04.01!D53+SI04.01!D54+SI04.01!D55+SI04.01!D79+SI04.01!D80+SI04.01!D81</f>
        <v>0</v>
      </c>
    </row>
    <row r="237" spans="1:4" ht="36">
      <c r="A237" s="1118">
        <v>235</v>
      </c>
      <c r="B237" s="1119" t="s">
        <v>2578</v>
      </c>
      <c r="C237" s="1124">
        <f t="shared" si="3"/>
        <v>0</v>
      </c>
      <c r="D237" s="1125" t="b">
        <f>DI18.01!D8&lt;BB01.05!D24</f>
        <v>0</v>
      </c>
    </row>
    <row r="238" spans="1:4" ht="72">
      <c r="A238" s="1118">
        <v>236</v>
      </c>
      <c r="B238" s="1119" t="s">
        <v>2579</v>
      </c>
      <c r="C238" s="1124">
        <f t="shared" si="3"/>
        <v>0</v>
      </c>
      <c r="D238" s="1126" t="b">
        <f>MI17.01!D175&lt;&gt;DA13.03!I12+DA13.03!I15+DA13.03!I19+DA13.03!I22+DA13.03!I32+DA13.03!I35+DA13.03!I39+DA13.03!I42</f>
        <v>0</v>
      </c>
    </row>
    <row r="239" spans="1:4" ht="180">
      <c r="A239" s="1118">
        <v>237</v>
      </c>
      <c r="B239" s="1119" t="s">
        <v>2580</v>
      </c>
      <c r="C239" s="1124">
        <f t="shared" si="3"/>
        <v>1</v>
      </c>
      <c r="D239" s="1126" t="b">
        <f>MI17.01!D173&lt;&gt;DA13.01!I12+DA13.01!I15+DA13.01!I19+DA13.01!I22+DA13.01!I32+DA13.01!I35+DA13.01!I39+DA13.01!I42+DA13.03!I12+DA13.03!I15+DA13.03!I19+DA13.03!I22+DA13.03!I32+DA13.03!I35+DA13.03!I39+DA13.03!I42+DA13.05!I12+DA13.05!I15+DA13.05!I19+DA13.05!I22+DA13.05!I32+DA13.05!I35+DA13.05!I39+DA13.05!I42</f>
        <v>1</v>
      </c>
    </row>
    <row r="240" spans="1:4" ht="108">
      <c r="A240" s="1118">
        <v>238</v>
      </c>
      <c r="B240" s="1119" t="s">
        <v>2581</v>
      </c>
      <c r="C240" s="1124">
        <f t="shared" si="3"/>
        <v>0</v>
      </c>
      <c r="D240" s="1126" t="b">
        <f>MI17.01!D174&lt;&gt;DA13.01!I32+DA13.01!I35+DA13.01!I39+DA13.01!I42+DA13.03!I32+DA13.03!I35+DA13.03!I39+DA13.03!I42+DA13.05!I32+DA13.05!I35+DA13.05!I39+DA13.05!I42</f>
        <v>0</v>
      </c>
    </row>
    <row r="241" spans="1:11" ht="54">
      <c r="A241" s="1118">
        <v>239</v>
      </c>
      <c r="B241" s="1119" t="s">
        <v>2582</v>
      </c>
      <c r="C241" s="1124">
        <f t="shared" si="3"/>
        <v>0</v>
      </c>
      <c r="D241" s="1126" t="b">
        <f>MI17.01!D176&lt;&gt;DA13.03!I32+DA13.03!I35+DA13.03!I39+DA13.03!I42</f>
        <v>0</v>
      </c>
    </row>
    <row r="242" spans="1:11" ht="36">
      <c r="A242" s="1118">
        <v>240</v>
      </c>
      <c r="B242" s="1123" t="s">
        <v>2651</v>
      </c>
      <c r="C242" s="1124">
        <f t="shared" si="3"/>
        <v>0</v>
      </c>
      <c r="D242" s="1127" t="b">
        <f>DI18.01!D7&lt;&gt;BC01.03!D12</f>
        <v>0</v>
      </c>
    </row>
    <row r="243" spans="1:11" ht="72">
      <c r="A243" s="1118">
        <v>241</v>
      </c>
      <c r="B243" s="1128" t="s">
        <v>2655</v>
      </c>
      <c r="C243" s="1124">
        <f t="shared" si="3"/>
        <v>0</v>
      </c>
      <c r="D243" s="1129" t="b">
        <f>ABS(BA01.01!E97+BA01.01!E85+BA01.01!E82+BA01.01!E76+BA01.01!E75+BA01.01!E68+BA01.01!E60+BA01.01!E58+BA01.01!E46+BA01.01!E45+BA01.01!E37+BA01.01!E31+BA01.01!E25+BA01.01!E19+BB01.05!E18-BL01.02!E47-BC01.03!E25-(SUM(FX19.01!D11:D44)-SUM(FX19.01!E11:E44)))&gt;8</f>
        <v>0</v>
      </c>
      <c r="F243" s="1106"/>
      <c r="G243" s="1106"/>
      <c r="H243" s="1106"/>
      <c r="I243" s="1106"/>
      <c r="J243" s="1106"/>
      <c r="K243" s="1106"/>
    </row>
    <row r="244" spans="1:11" ht="98.25" customHeight="1">
      <c r="A244" s="1118">
        <v>242</v>
      </c>
      <c r="B244" s="1128" t="s">
        <v>2656</v>
      </c>
      <c r="C244" s="1124">
        <f t="shared" si="3"/>
        <v>0</v>
      </c>
      <c r="D244" s="1125" t="b">
        <f>ABS(BO01.04!E9+BO01.04!E10+BO01.04!E11-BO01.04!E12-BO01.04!E14-BO01.04!E15-BO01.04!E16+BO01.04!E18+BO01.04!E19+BO01.04!D21-BO01.04!D22+BO01.04!E24+BO01.04!E28-BO01.04!E29+BO01.04!E31-BO01.04!E32+BO01.04!E34-BO01.04!E35-(SUM(FX19.01!F11:F44)-SUM(FX19.01!G11:G44)))&gt;8</f>
        <v>0</v>
      </c>
      <c r="G244" s="1111"/>
      <c r="H244" s="1106"/>
    </row>
    <row r="245" spans="1:11" ht="72">
      <c r="A245" s="1118">
        <v>243</v>
      </c>
      <c r="B245" s="1123" t="s">
        <v>2652</v>
      </c>
      <c r="C245" s="1124">
        <f t="shared" si="3"/>
        <v>0</v>
      </c>
      <c r="D245" s="1125" t="b">
        <f>BB21.01!I10&lt;&gt;BA01.01!D16+BA01.01!D17+BA01.01!D18+BA01.01!D22+BA01.01!D23+BA01.01!D24+BA01.01!D28+BA01.01!D29+BA01.01!D30+BA01.01!D34+BA01.01!D35+BA01.01!D36</f>
        <v>0</v>
      </c>
      <c r="F245" s="1106"/>
      <c r="H245" s="1110"/>
    </row>
    <row r="246" spans="1:11" ht="72">
      <c r="A246" s="1118">
        <v>244</v>
      </c>
      <c r="B246" s="1123" t="s">
        <v>2653</v>
      </c>
      <c r="C246" s="1124">
        <f t="shared" si="3"/>
        <v>0</v>
      </c>
      <c r="D246" s="1125" t="b">
        <f>BB21.02!I10&lt;&gt;BL01.02!D11+BL01.02!D12+BL01.02!D15+BL01.02!D16+BL01.02!D19+BL01.02!D20+BL01.02!D23+BL01.02!D24</f>
        <v>0</v>
      </c>
      <c r="F246" s="1106"/>
    </row>
  </sheetData>
  <sheetProtection password="E9D4" sheet="1" objects="1" scenarios="1"/>
  <mergeCells count="1">
    <mergeCell ref="A1:D1"/>
  </mergeCells>
  <conditionalFormatting sqref="B2">
    <cfRule type="expression" dxfId="0" priority="3">
      <formula>#REF!&gt;1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Лист5"/>
  <dimension ref="B1:E97"/>
  <sheetViews>
    <sheetView workbookViewId="0">
      <selection activeCell="C11" sqref="C11"/>
    </sheetView>
  </sheetViews>
  <sheetFormatPr defaultRowHeight="18"/>
  <cols>
    <col min="1" max="1" width="1.140625" style="91" customWidth="1"/>
    <col min="2" max="2" width="10.42578125" style="91" bestFit="1" customWidth="1"/>
    <col min="3" max="3" width="76.7109375" style="91" customWidth="1"/>
    <col min="4" max="5" width="20.7109375" style="91" customWidth="1"/>
    <col min="6" max="16384" width="9.140625" style="91"/>
  </cols>
  <sheetData>
    <row r="1" spans="2:5" s="87" customFormat="1" ht="30" customHeight="1">
      <c r="B1" s="145"/>
      <c r="C1" s="146"/>
      <c r="D1" s="1156" t="s">
        <v>1850</v>
      </c>
      <c r="E1" s="1157"/>
    </row>
    <row r="2" spans="2:5" s="87" customFormat="1">
      <c r="B2" s="145"/>
      <c r="C2" s="39" t="str">
        <f>T!E18</f>
        <v>Номгӯи ташкилоти қарзӣ</v>
      </c>
      <c r="D2" s="147"/>
      <c r="E2" s="86"/>
    </row>
    <row r="3" spans="2:5" s="87" customFormat="1">
      <c r="B3" s="145"/>
      <c r="C3" s="88" t="str">
        <f>T!B10</f>
        <v>Ҳисобот дар санаи</v>
      </c>
      <c r="D3" s="1180"/>
      <c r="E3" s="1180"/>
    </row>
    <row r="4" spans="2:5" s="87" customFormat="1">
      <c r="B4" s="145"/>
      <c r="C4" s="88" t="str">
        <f>'List of Scedules'!B5</f>
        <v>ҶАДВАЛИ 01.01. ДОРОИҲО</v>
      </c>
      <c r="D4" s="148"/>
      <c r="E4" s="148"/>
    </row>
    <row r="5" spans="2:5" ht="19.5">
      <c r="B5" s="149"/>
      <c r="C5" s="150"/>
      <c r="D5" s="1181"/>
      <c r="E5" s="1181"/>
    </row>
    <row r="6" spans="2:5" ht="36">
      <c r="B6" s="4"/>
      <c r="C6" s="5" t="s">
        <v>1267</v>
      </c>
      <c r="D6" s="5" t="s">
        <v>1268</v>
      </c>
      <c r="E6" s="6" t="s">
        <v>1269</v>
      </c>
    </row>
    <row r="7" spans="2:5">
      <c r="B7" s="7" t="s">
        <v>630</v>
      </c>
      <c r="C7" s="8" t="s">
        <v>1270</v>
      </c>
      <c r="D7" s="9"/>
      <c r="E7" s="9"/>
    </row>
    <row r="8" spans="2:5">
      <c r="B8" s="10" t="s">
        <v>631</v>
      </c>
      <c r="C8" s="8" t="s">
        <v>1253</v>
      </c>
      <c r="D8" s="9"/>
      <c r="E8" s="9"/>
    </row>
    <row r="9" spans="2:5">
      <c r="B9" s="10" t="s">
        <v>684</v>
      </c>
      <c r="C9" s="11" t="s">
        <v>1769</v>
      </c>
      <c r="D9" s="12">
        <f>SUM(D10:D12)</f>
        <v>0</v>
      </c>
      <c r="E9" s="12">
        <f>SUM(E10:E12)</f>
        <v>0</v>
      </c>
    </row>
    <row r="10" spans="2:5">
      <c r="B10" s="10" t="s">
        <v>659</v>
      </c>
      <c r="C10" s="8" t="s">
        <v>1271</v>
      </c>
      <c r="D10" s="9"/>
      <c r="E10" s="9"/>
    </row>
    <row r="11" spans="2:5">
      <c r="B11" s="10" t="s">
        <v>632</v>
      </c>
      <c r="C11" s="8" t="s">
        <v>1272</v>
      </c>
      <c r="D11" s="9"/>
      <c r="E11" s="9"/>
    </row>
    <row r="12" spans="2:5">
      <c r="B12" s="10" t="s">
        <v>660</v>
      </c>
      <c r="C12" s="8" t="s">
        <v>1768</v>
      </c>
      <c r="D12" s="9"/>
      <c r="E12" s="9"/>
    </row>
    <row r="13" spans="2:5" ht="17.25" customHeight="1">
      <c r="B13" s="10" t="s">
        <v>633</v>
      </c>
      <c r="C13" s="11" t="s">
        <v>1273</v>
      </c>
      <c r="D13" s="12">
        <f>+D14+D20+D26+D32</f>
        <v>0</v>
      </c>
      <c r="E13" s="12">
        <f>+E14+E20+E26+E32</f>
        <v>0</v>
      </c>
    </row>
    <row r="14" spans="2:5">
      <c r="B14" s="10" t="s">
        <v>661</v>
      </c>
      <c r="C14" s="11" t="s">
        <v>1274</v>
      </c>
      <c r="D14" s="12">
        <f>SUM(D15:D18)</f>
        <v>0</v>
      </c>
      <c r="E14" s="12">
        <f>SUM(E15:E18)</f>
        <v>0</v>
      </c>
    </row>
    <row r="15" spans="2:5">
      <c r="B15" s="10" t="s">
        <v>634</v>
      </c>
      <c r="C15" s="8" t="s">
        <v>1275</v>
      </c>
      <c r="D15" s="9"/>
      <c r="E15" s="9"/>
    </row>
    <row r="16" spans="2:5">
      <c r="B16" s="10" t="s">
        <v>662</v>
      </c>
      <c r="C16" s="8" t="s">
        <v>1032</v>
      </c>
      <c r="D16" s="9"/>
      <c r="E16" s="9"/>
    </row>
    <row r="17" spans="2:5">
      <c r="B17" s="10" t="s">
        <v>635</v>
      </c>
      <c r="C17" s="8" t="s">
        <v>1277</v>
      </c>
      <c r="D17" s="9"/>
      <c r="E17" s="9"/>
    </row>
    <row r="18" spans="2:5">
      <c r="B18" s="10" t="s">
        <v>663</v>
      </c>
      <c r="C18" s="8" t="s">
        <v>1278</v>
      </c>
      <c r="D18" s="9"/>
      <c r="E18" s="9"/>
    </row>
    <row r="19" spans="2:5" ht="39">
      <c r="B19" s="10" t="s">
        <v>1279</v>
      </c>
      <c r="C19" s="13" t="s">
        <v>1033</v>
      </c>
      <c r="D19" s="9"/>
      <c r="E19" s="9"/>
    </row>
    <row r="20" spans="2:5" ht="36">
      <c r="B20" s="10" t="s">
        <v>636</v>
      </c>
      <c r="C20" s="15" t="s">
        <v>1280</v>
      </c>
      <c r="D20" s="12">
        <f>SUM(D21:D24)</f>
        <v>0</v>
      </c>
      <c r="E20" s="12">
        <f>SUM(E21:E24)</f>
        <v>0</v>
      </c>
    </row>
    <row r="21" spans="2:5">
      <c r="B21" s="10" t="s">
        <v>1281</v>
      </c>
      <c r="C21" s="8" t="s">
        <v>1275</v>
      </c>
      <c r="D21" s="487"/>
      <c r="E21" s="9"/>
    </row>
    <row r="22" spans="2:5">
      <c r="B22" s="10" t="s">
        <v>1282</v>
      </c>
      <c r="C22" s="8" t="s">
        <v>1032</v>
      </c>
      <c r="D22" s="9"/>
      <c r="E22" s="9"/>
    </row>
    <row r="23" spans="2:5">
      <c r="B23" s="10" t="s">
        <v>1283</v>
      </c>
      <c r="C23" s="8" t="s">
        <v>1284</v>
      </c>
      <c r="D23" s="487"/>
      <c r="E23" s="9"/>
    </row>
    <row r="24" spans="2:5">
      <c r="B24" s="10" t="s">
        <v>1285</v>
      </c>
      <c r="C24" s="8" t="s">
        <v>1278</v>
      </c>
      <c r="D24" s="9"/>
      <c r="E24" s="9"/>
    </row>
    <row r="25" spans="2:5" ht="39">
      <c r="B25" s="10" t="s">
        <v>664</v>
      </c>
      <c r="C25" s="16" t="s">
        <v>1286</v>
      </c>
      <c r="D25" s="9"/>
      <c r="E25" s="9"/>
    </row>
    <row r="26" spans="2:5" ht="17.25" customHeight="1">
      <c r="B26" s="10" t="s">
        <v>637</v>
      </c>
      <c r="C26" s="17" t="s">
        <v>1287</v>
      </c>
      <c r="D26" s="12">
        <f>SUM(D27:D30)</f>
        <v>0</v>
      </c>
      <c r="E26" s="12">
        <f>SUM(E27:E30)</f>
        <v>0</v>
      </c>
    </row>
    <row r="27" spans="2:5">
      <c r="B27" s="10" t="s">
        <v>665</v>
      </c>
      <c r="C27" s="8" t="s">
        <v>1288</v>
      </c>
      <c r="D27" s="9"/>
      <c r="E27" s="9"/>
    </row>
    <row r="28" spans="2:5">
      <c r="B28" s="10" t="s">
        <v>638</v>
      </c>
      <c r="C28" s="8" t="s">
        <v>1276</v>
      </c>
      <c r="D28" s="9"/>
      <c r="E28" s="9"/>
    </row>
    <row r="29" spans="2:5">
      <c r="B29" s="10" t="s">
        <v>666</v>
      </c>
      <c r="C29" s="8" t="s">
        <v>1284</v>
      </c>
      <c r="D29" s="9"/>
      <c r="E29" s="9"/>
    </row>
    <row r="30" spans="2:5">
      <c r="B30" s="10" t="s">
        <v>639</v>
      </c>
      <c r="C30" s="8" t="s">
        <v>1278</v>
      </c>
      <c r="D30" s="9"/>
      <c r="E30" s="9"/>
    </row>
    <row r="31" spans="2:5" ht="39">
      <c r="B31" s="10" t="s">
        <v>1289</v>
      </c>
      <c r="C31" s="13" t="s">
        <v>1034</v>
      </c>
      <c r="D31" s="18"/>
      <c r="E31" s="18"/>
    </row>
    <row r="32" spans="2:5" ht="36">
      <c r="B32" s="10" t="s">
        <v>667</v>
      </c>
      <c r="C32" s="15" t="s">
        <v>1162</v>
      </c>
      <c r="D32" s="12">
        <f>SUM(D33:D36)</f>
        <v>0</v>
      </c>
      <c r="E32" s="12">
        <f>SUM(E33:E36)</f>
        <v>0</v>
      </c>
    </row>
    <row r="33" spans="2:5">
      <c r="B33" s="10" t="s">
        <v>1290</v>
      </c>
      <c r="C33" s="8" t="s">
        <v>1275</v>
      </c>
      <c r="D33" s="9"/>
      <c r="E33" s="9"/>
    </row>
    <row r="34" spans="2:5">
      <c r="B34" s="10" t="s">
        <v>1291</v>
      </c>
      <c r="C34" s="8" t="s">
        <v>1032</v>
      </c>
      <c r="D34" s="9"/>
      <c r="E34" s="9"/>
    </row>
    <row r="35" spans="2:5">
      <c r="B35" s="10" t="s">
        <v>1292</v>
      </c>
      <c r="C35" s="8" t="s">
        <v>1277</v>
      </c>
      <c r="D35" s="9"/>
      <c r="E35" s="9"/>
    </row>
    <row r="36" spans="2:5">
      <c r="B36" s="10" t="s">
        <v>1293</v>
      </c>
      <c r="C36" s="8" t="s">
        <v>1278</v>
      </c>
      <c r="D36" s="9"/>
      <c r="E36" s="9"/>
    </row>
    <row r="37" spans="2:5" ht="39">
      <c r="B37" s="10" t="s">
        <v>640</v>
      </c>
      <c r="C37" s="16" t="s">
        <v>1035</v>
      </c>
      <c r="D37" s="14"/>
      <c r="E37" s="14"/>
    </row>
    <row r="38" spans="2:5" ht="36">
      <c r="B38" s="10" t="s">
        <v>668</v>
      </c>
      <c r="C38" s="8" t="s">
        <v>1294</v>
      </c>
      <c r="D38" s="9"/>
      <c r="E38" s="9"/>
    </row>
    <row r="39" spans="2:5">
      <c r="B39" s="10" t="s">
        <v>641</v>
      </c>
      <c r="C39" s="11" t="s">
        <v>1295</v>
      </c>
      <c r="D39" s="12">
        <f>SUM(D40:D44)</f>
        <v>0</v>
      </c>
      <c r="E39" s="12">
        <f>SUM(E40:E44)</f>
        <v>0</v>
      </c>
    </row>
    <row r="40" spans="2:5">
      <c r="B40" s="10" t="s">
        <v>669</v>
      </c>
      <c r="C40" s="892" t="s">
        <v>1744</v>
      </c>
      <c r="D40" s="12">
        <f>+SI04.01!D10+SI04.01!D36</f>
        <v>0</v>
      </c>
      <c r="E40" s="12">
        <f>+SI04.01!E10+SI04.01!E36</f>
        <v>0</v>
      </c>
    </row>
    <row r="41" spans="2:5">
      <c r="B41" s="10" t="s">
        <v>642</v>
      </c>
      <c r="C41" s="892" t="s">
        <v>1296</v>
      </c>
      <c r="D41" s="12">
        <f>+SI04.01!D20+SI04.01!D21+SI04.01!D27+SI04.01!D28+SI04.01!D46+SI04.01!D47+SI04.01!D53+SI04.01!D54</f>
        <v>0</v>
      </c>
      <c r="E41" s="12">
        <f>+SI04.01!E20+SI04.01!E21+SI04.01!E27+SI04.01!E28+SI04.01!E46+SI04.01!E47+SI04.01!E53+SI04.01!E54</f>
        <v>0</v>
      </c>
    </row>
    <row r="42" spans="2:5">
      <c r="B42" s="10" t="s">
        <v>670</v>
      </c>
      <c r="C42" s="892" t="s">
        <v>1297</v>
      </c>
      <c r="D42" s="12">
        <f>+SI04.01!D22+SI04.01!D29+SI04.01!D48+SI04.01!D55</f>
        <v>0</v>
      </c>
      <c r="E42" s="12">
        <f>+SI04.01!E22+SI04.01!E29+SI04.01!E48+SI04.01!E55</f>
        <v>0</v>
      </c>
    </row>
    <row r="43" spans="2:5">
      <c r="B43" s="10" t="s">
        <v>643</v>
      </c>
      <c r="C43" s="892" t="s">
        <v>1298</v>
      </c>
      <c r="D43" s="12">
        <f>+SI04.01!D11+SI04.01!D12+SI04.01!D37+SI04.01!D38</f>
        <v>0</v>
      </c>
      <c r="E43" s="12">
        <f>+SI04.01!E11+SI04.01!E12+SI04.01!E37+SI04.01!E38</f>
        <v>0</v>
      </c>
    </row>
    <row r="44" spans="2:5">
      <c r="B44" s="10" t="s">
        <v>671</v>
      </c>
      <c r="C44" s="892" t="s">
        <v>1299</v>
      </c>
      <c r="D44" s="20">
        <f>+SI04.01!D13+SI04.01!D14+SI04.01!D15+SI04.01!D16+SI04.01!D17+SI04.01!D18+SI04.01!D19+SI04.01!D26+SI04.01!D30+SI04.01!D31+SI04.01!D39+SI04.01!D40+SI04.01!D41+SI04.01!D42+SI04.01!D43+SI04.01!D44+SI04.01!D45+SI04.01!D52+SI04.01!D56+SI04.01!D57</f>
        <v>0</v>
      </c>
      <c r="E44" s="20">
        <f>+SI04.01!E13+SI04.01!E14+SI04.01!E15+SI04.01!E16+SI04.01!E17+SI04.01!E18+SI04.01!E19+SI04.01!E26+SI04.01!E30+SI04.01!E31+SI04.01!E39+SI04.01!E40+SI04.01!E41+SI04.01!E42+SI04.01!E43+SI04.01!E44+SI04.01!E45+SI04.01!E52+SI04.01!E56+SI04.01!E57</f>
        <v>0</v>
      </c>
    </row>
    <row r="45" spans="2:5" ht="19.5">
      <c r="B45" s="10" t="s">
        <v>1300</v>
      </c>
      <c r="C45" s="13" t="s">
        <v>1036</v>
      </c>
      <c r="D45" s="18">
        <v>0</v>
      </c>
      <c r="E45" s="18">
        <v>0</v>
      </c>
    </row>
    <row r="46" spans="2:5" ht="19.5">
      <c r="B46" s="10" t="s">
        <v>644</v>
      </c>
      <c r="C46" s="13" t="s">
        <v>1037</v>
      </c>
      <c r="D46" s="14">
        <v>0</v>
      </c>
      <c r="E46" s="14">
        <v>0</v>
      </c>
    </row>
    <row r="47" spans="2:5">
      <c r="B47" s="10" t="s">
        <v>672</v>
      </c>
      <c r="C47" s="11" t="s">
        <v>1302</v>
      </c>
      <c r="D47" s="12">
        <f>+D48+D49</f>
        <v>0</v>
      </c>
      <c r="E47" s="12">
        <f>+E48+E49</f>
        <v>0</v>
      </c>
    </row>
    <row r="48" spans="2:5" ht="16.5" customHeight="1">
      <c r="B48" s="10" t="s">
        <v>645</v>
      </c>
      <c r="C48" s="19" t="s">
        <v>1303</v>
      </c>
      <c r="D48" s="9">
        <v>0</v>
      </c>
      <c r="E48" s="9">
        <v>0</v>
      </c>
    </row>
    <row r="49" spans="2:5" ht="36" customHeight="1">
      <c r="B49" s="10" t="s">
        <v>673</v>
      </c>
      <c r="C49" s="21" t="s">
        <v>1463</v>
      </c>
      <c r="D49" s="9">
        <v>0</v>
      </c>
      <c r="E49" s="9">
        <v>0</v>
      </c>
    </row>
    <row r="50" spans="2:5">
      <c r="B50" s="10" t="s">
        <v>646</v>
      </c>
      <c r="C50" s="17" t="s">
        <v>1464</v>
      </c>
      <c r="D50" s="12">
        <f>+D51+D59</f>
        <v>0</v>
      </c>
      <c r="E50" s="12">
        <f>+E51+E59</f>
        <v>0</v>
      </c>
    </row>
    <row r="51" spans="2:5">
      <c r="B51" s="10" t="s">
        <v>674</v>
      </c>
      <c r="C51" s="11" t="s">
        <v>1465</v>
      </c>
      <c r="D51" s="12">
        <f>SUM(D52:D57)</f>
        <v>0</v>
      </c>
      <c r="E51" s="12">
        <f>SUM(E52:E57)</f>
        <v>0</v>
      </c>
    </row>
    <row r="52" spans="2:5">
      <c r="B52" s="10" t="s">
        <v>647</v>
      </c>
      <c r="C52" s="8" t="s">
        <v>1298</v>
      </c>
      <c r="D52" s="9"/>
      <c r="E52" s="9"/>
    </row>
    <row r="53" spans="2:5">
      <c r="B53" s="10" t="s">
        <v>675</v>
      </c>
      <c r="C53" s="8" t="s">
        <v>1466</v>
      </c>
      <c r="D53" s="9"/>
      <c r="E53" s="9"/>
    </row>
    <row r="54" spans="2:5">
      <c r="B54" s="10" t="s">
        <v>1467</v>
      </c>
      <c r="C54" s="8" t="s">
        <v>1468</v>
      </c>
      <c r="D54" s="9"/>
      <c r="E54" s="9"/>
    </row>
    <row r="55" spans="2:5">
      <c r="B55" s="10" t="s">
        <v>648</v>
      </c>
      <c r="C55" s="8" t="s">
        <v>1469</v>
      </c>
      <c r="D55" s="9"/>
      <c r="E55" s="9"/>
    </row>
    <row r="56" spans="2:5">
      <c r="B56" s="10" t="s">
        <v>676</v>
      </c>
      <c r="C56" s="8" t="s">
        <v>1470</v>
      </c>
      <c r="D56" s="9"/>
      <c r="E56" s="9"/>
    </row>
    <row r="57" spans="2:5" ht="17.25" customHeight="1">
      <c r="B57" s="10" t="s">
        <v>649</v>
      </c>
      <c r="C57" s="8" t="s">
        <v>1745</v>
      </c>
      <c r="D57" s="9"/>
      <c r="E57" s="9"/>
    </row>
    <row r="58" spans="2:5" ht="19.5">
      <c r="B58" s="10" t="s">
        <v>677</v>
      </c>
      <c r="C58" s="16" t="s">
        <v>1471</v>
      </c>
      <c r="D58" s="14"/>
      <c r="E58" s="14"/>
    </row>
    <row r="59" spans="2:5">
      <c r="B59" s="10" t="s">
        <v>650</v>
      </c>
      <c r="C59" s="11" t="s">
        <v>1472</v>
      </c>
      <c r="D59" s="9"/>
      <c r="E59" s="9"/>
    </row>
    <row r="60" spans="2:5" ht="39">
      <c r="B60" s="10" t="s">
        <v>678</v>
      </c>
      <c r="C60" s="16" t="s">
        <v>1473</v>
      </c>
      <c r="D60" s="14"/>
      <c r="E60" s="14"/>
    </row>
    <row r="61" spans="2:5">
      <c r="B61" s="10" t="s">
        <v>1474</v>
      </c>
      <c r="C61" s="11" t="s">
        <v>1475</v>
      </c>
      <c r="D61" s="12">
        <f>SUM(D62:D67)</f>
        <v>0</v>
      </c>
      <c r="E61" s="12">
        <f>SUM(E62:E67)</f>
        <v>0</v>
      </c>
    </row>
    <row r="62" spans="2:5">
      <c r="B62" s="10" t="s">
        <v>1476</v>
      </c>
      <c r="C62" s="8" t="s">
        <v>1298</v>
      </c>
      <c r="D62" s="9"/>
      <c r="E62" s="9"/>
    </row>
    <row r="63" spans="2:5">
      <c r="B63" s="10" t="s">
        <v>1477</v>
      </c>
      <c r="C63" s="8" t="s">
        <v>1466</v>
      </c>
      <c r="D63" s="9"/>
      <c r="E63" s="9"/>
    </row>
    <row r="64" spans="2:5">
      <c r="B64" s="10" t="s">
        <v>1478</v>
      </c>
      <c r="C64" s="8" t="s">
        <v>1468</v>
      </c>
      <c r="D64" s="9"/>
      <c r="E64" s="9"/>
    </row>
    <row r="65" spans="2:5">
      <c r="B65" s="10" t="s">
        <v>1479</v>
      </c>
      <c r="C65" s="8" t="s">
        <v>1469</v>
      </c>
      <c r="D65" s="9"/>
      <c r="E65" s="9"/>
    </row>
    <row r="66" spans="2:5">
      <c r="B66" s="10" t="s">
        <v>1480</v>
      </c>
      <c r="C66" s="8" t="s">
        <v>1470</v>
      </c>
      <c r="D66" s="9"/>
      <c r="E66" s="9"/>
    </row>
    <row r="67" spans="2:5">
      <c r="B67" s="22" t="s">
        <v>1481</v>
      </c>
      <c r="C67" s="8" t="s">
        <v>1745</v>
      </c>
      <c r="D67" s="9"/>
      <c r="E67" s="9"/>
    </row>
    <row r="68" spans="2:5" ht="39">
      <c r="B68" s="22" t="s">
        <v>1482</v>
      </c>
      <c r="C68" s="16" t="s">
        <v>1483</v>
      </c>
      <c r="D68" s="14"/>
      <c r="E68" s="14"/>
    </row>
    <row r="69" spans="2:5">
      <c r="B69" s="10" t="s">
        <v>651</v>
      </c>
      <c r="C69" s="11" t="s">
        <v>1484</v>
      </c>
      <c r="D69" s="12">
        <f>SUM(D70:D74)</f>
        <v>0</v>
      </c>
      <c r="E69" s="12">
        <f>SUM(E70:E74)</f>
        <v>0</v>
      </c>
    </row>
    <row r="70" spans="2:5">
      <c r="B70" s="10" t="s">
        <v>679</v>
      </c>
      <c r="C70" s="8" t="s">
        <v>1746</v>
      </c>
      <c r="D70" s="12">
        <f>+SI04.01!D62</f>
        <v>0</v>
      </c>
      <c r="E70" s="12">
        <f>+SI04.01!E62</f>
        <v>0</v>
      </c>
    </row>
    <row r="71" spans="2:5">
      <c r="B71" s="10" t="s">
        <v>652</v>
      </c>
      <c r="C71" s="8" t="s">
        <v>1485</v>
      </c>
      <c r="D71" s="12">
        <f>+SI04.01!D72+SI04.01!D73+SI04.01!D79+SI04.01!D80</f>
        <v>0</v>
      </c>
      <c r="E71" s="12">
        <f>+SI04.01!E72+SI04.01!E73+SI04.01!E79+SI04.01!E80</f>
        <v>0</v>
      </c>
    </row>
    <row r="72" spans="2:5">
      <c r="B72" s="10" t="s">
        <v>680</v>
      </c>
      <c r="C72" s="8" t="s">
        <v>1486</v>
      </c>
      <c r="D72" s="12">
        <f>+SI04.01!D74+SI04.01!D81</f>
        <v>0</v>
      </c>
      <c r="E72" s="12">
        <f>+SI04.01!E74+SI04.01!E81</f>
        <v>0</v>
      </c>
    </row>
    <row r="73" spans="2:5">
      <c r="B73" s="10" t="s">
        <v>653</v>
      </c>
      <c r="C73" s="8" t="s">
        <v>1747</v>
      </c>
      <c r="D73" s="12">
        <f>+SI04.01!D63+SI04.01!D64</f>
        <v>0</v>
      </c>
      <c r="E73" s="12">
        <f>+SI04.01!E63+SI04.01!E64</f>
        <v>0</v>
      </c>
    </row>
    <row r="74" spans="2:5">
      <c r="B74" s="10" t="s">
        <v>681</v>
      </c>
      <c r="C74" s="8" t="s">
        <v>1487</v>
      </c>
      <c r="D74" s="12">
        <f>+SI04.01!D65+SI04.01!D66+SI04.01!D67+SI04.01!D68+SI04.01!D69+SI04.01!D70+SI04.01!D71+SI04.01!D78+SI04.01!D82+SI04.01!D83</f>
        <v>0</v>
      </c>
      <c r="E74" s="12">
        <f>+SI04.01!E65+SI04.01!E66+SI04.01!E67+SI04.01!E68+SI04.01!E69+SI04.01!E70+SI04.01!E71+SI04.01!E78+SI04.01!E82+SI04.01!E83</f>
        <v>0</v>
      </c>
    </row>
    <row r="75" spans="2:5" ht="19.5">
      <c r="B75" s="10" t="s">
        <v>1488</v>
      </c>
      <c r="C75" s="13" t="s">
        <v>1301</v>
      </c>
      <c r="D75" s="14"/>
      <c r="E75" s="14"/>
    </row>
    <row r="76" spans="2:5" ht="19.5">
      <c r="B76" s="10" t="s">
        <v>654</v>
      </c>
      <c r="C76" s="16" t="s">
        <v>1489</v>
      </c>
      <c r="D76" s="14"/>
      <c r="E76" s="14"/>
    </row>
    <row r="77" spans="2:5">
      <c r="B77" s="10" t="s">
        <v>682</v>
      </c>
      <c r="C77" s="11" t="s">
        <v>1490</v>
      </c>
      <c r="D77" s="12">
        <f>SUM(D78:D81)+D83+D84</f>
        <v>0</v>
      </c>
      <c r="E77" s="12">
        <f>SUM(E78:E81)+E83+E84</f>
        <v>0</v>
      </c>
    </row>
    <row r="78" spans="2:5" ht="36">
      <c r="B78" s="10" t="s">
        <v>658</v>
      </c>
      <c r="C78" s="8" t="s">
        <v>1491</v>
      </c>
      <c r="D78" s="9"/>
      <c r="E78" s="9"/>
    </row>
    <row r="79" spans="2:5">
      <c r="B79" s="10" t="s">
        <v>685</v>
      </c>
      <c r="C79" s="19" t="s">
        <v>1254</v>
      </c>
      <c r="D79" s="9"/>
      <c r="E79" s="9"/>
    </row>
    <row r="80" spans="2:5">
      <c r="B80" s="10" t="s">
        <v>686</v>
      </c>
      <c r="C80" s="8" t="s">
        <v>1492</v>
      </c>
      <c r="D80" s="9"/>
      <c r="E80" s="9"/>
    </row>
    <row r="81" spans="2:5">
      <c r="B81" s="10" t="s">
        <v>687</v>
      </c>
      <c r="C81" s="19" t="s">
        <v>1493</v>
      </c>
      <c r="D81" s="9"/>
      <c r="E81" s="9"/>
    </row>
    <row r="82" spans="2:5" ht="19.5">
      <c r="B82" s="10" t="s">
        <v>2042</v>
      </c>
      <c r="C82" s="16" t="s">
        <v>2041</v>
      </c>
      <c r="D82" s="14"/>
      <c r="E82" s="14"/>
    </row>
    <row r="83" spans="2:5">
      <c r="B83" s="10" t="s">
        <v>688</v>
      </c>
      <c r="C83" s="19" t="s">
        <v>1494</v>
      </c>
      <c r="D83" s="9"/>
      <c r="E83" s="9"/>
    </row>
    <row r="84" spans="2:5">
      <c r="B84" s="10" t="s">
        <v>689</v>
      </c>
      <c r="C84" s="19" t="s">
        <v>1495</v>
      </c>
      <c r="D84" s="9"/>
      <c r="E84" s="9"/>
    </row>
    <row r="85" spans="2:5" ht="19.5">
      <c r="B85" s="10" t="s">
        <v>690</v>
      </c>
      <c r="C85" s="13" t="s">
        <v>1496</v>
      </c>
      <c r="D85" s="14"/>
      <c r="E85" s="14"/>
    </row>
    <row r="86" spans="2:5">
      <c r="B86" s="10" t="s">
        <v>691</v>
      </c>
      <c r="C86" s="11" t="s">
        <v>1497</v>
      </c>
      <c r="D86" s="12">
        <f>+D87+D91+D92+D93+D94+D95</f>
        <v>0</v>
      </c>
      <c r="E86" s="12">
        <f>+E87+E91+E92+E93+E94+E95</f>
        <v>0</v>
      </c>
    </row>
    <row r="87" spans="2:5">
      <c r="B87" s="10" t="s">
        <v>692</v>
      </c>
      <c r="C87" s="17" t="s">
        <v>1038</v>
      </c>
      <c r="D87" s="12">
        <f>SUM(D88:D90)</f>
        <v>0</v>
      </c>
      <c r="E87" s="12">
        <f>SUM(E88:E90)</f>
        <v>0</v>
      </c>
    </row>
    <row r="88" spans="2:5">
      <c r="B88" s="10" t="s">
        <v>693</v>
      </c>
      <c r="C88" s="8" t="s">
        <v>1498</v>
      </c>
      <c r="D88" s="9"/>
      <c r="E88" s="9"/>
    </row>
    <row r="89" spans="2:5">
      <c r="B89" s="10" t="s">
        <v>1499</v>
      </c>
      <c r="C89" s="8" t="s">
        <v>1500</v>
      </c>
      <c r="D89" s="9"/>
      <c r="E89" s="9"/>
    </row>
    <row r="90" spans="2:5">
      <c r="B90" s="10" t="s">
        <v>592</v>
      </c>
      <c r="C90" s="19" t="s">
        <v>1501</v>
      </c>
      <c r="D90" s="9"/>
      <c r="E90" s="9"/>
    </row>
    <row r="91" spans="2:5">
      <c r="B91" s="10" t="s">
        <v>593</v>
      </c>
      <c r="C91" s="19" t="s">
        <v>1502</v>
      </c>
      <c r="D91" s="9"/>
      <c r="E91" s="9"/>
    </row>
    <row r="92" spans="2:5">
      <c r="B92" s="10" t="s">
        <v>2043</v>
      </c>
      <c r="C92" s="19" t="s">
        <v>2047</v>
      </c>
      <c r="D92" s="9"/>
      <c r="E92" s="9"/>
    </row>
    <row r="93" spans="2:5">
      <c r="B93" s="10" t="s">
        <v>594</v>
      </c>
      <c r="C93" s="19" t="s">
        <v>1039</v>
      </c>
      <c r="D93" s="9"/>
      <c r="E93" s="9"/>
    </row>
    <row r="94" spans="2:5">
      <c r="B94" s="10" t="s">
        <v>595</v>
      </c>
      <c r="C94" s="8" t="s">
        <v>1503</v>
      </c>
      <c r="D94" s="9"/>
      <c r="E94" s="9"/>
    </row>
    <row r="95" spans="2:5">
      <c r="B95" s="10" t="s">
        <v>596</v>
      </c>
      <c r="C95" s="11" t="s">
        <v>1504</v>
      </c>
      <c r="D95" s="12">
        <f>+BB01.05!D7</f>
        <v>0</v>
      </c>
      <c r="E95" s="12">
        <f>+BB01.05!E7</f>
        <v>0</v>
      </c>
    </row>
    <row r="96" spans="2:5">
      <c r="B96" s="10" t="s">
        <v>1505</v>
      </c>
      <c r="C96" s="8" t="s">
        <v>1506</v>
      </c>
      <c r="D96" s="9"/>
      <c r="E96" s="9"/>
    </row>
    <row r="97" spans="2:5">
      <c r="B97" s="10" t="s">
        <v>629</v>
      </c>
      <c r="C97" s="11" t="s">
        <v>1507</v>
      </c>
      <c r="D97" s="12">
        <f>+D7+D8+D9+D13+D38+D39+D47+D50+D61+D69+D77+D86+D96</f>
        <v>0</v>
      </c>
      <c r="E97" s="12">
        <f>+E7+E8+E9+E13+E38+E39+E47+E50+E61+E69+E77+E86+E96</f>
        <v>0</v>
      </c>
    </row>
  </sheetData>
  <sheetProtection password="E9D4" sheet="1"/>
  <customSheetViews>
    <customSheetView guid="{871F8275-217B-436F-8813-871F820F0EE4}" scale="85" showPageBreaks="1" showGridLines="0" view="pageBreakPreview" topLeftCell="A70">
      <selection activeCell="D86" sqref="D86"/>
      <pageMargins left="0.39370078740157483" right="0.39370078740157483" top="0.39370078740157483" bottom="0.39370078740157483" header="0.19685039370078741" footer="0.19685039370078741"/>
      <pageSetup paperSize="9" scale="75" orientation="portrait" r:id="rId1"/>
      <headerFooter alignWithMargins="0">
        <oddFooter>&amp;L&amp;7&amp;D&amp;C&amp;7&amp;P&amp;R&amp;7&amp;F</oddFooter>
      </headerFooter>
    </customSheetView>
    <customSheetView guid="{2EBF18CB-80C9-43ED-A978-2AAEAC40933E}" scale="75" showGridLines="0" showRuler="0" topLeftCell="A75">
      <selection activeCell="B98" sqref="B98"/>
      <pageMargins left="0.39370078740157483" right="0.39370078740157483" top="0.39370078740157483" bottom="0.39370078740157483" header="0.19685039370078741" footer="0.19685039370078741"/>
      <pageSetup paperSize="9" scale="75" orientation="portrait" horizontalDpi="300" verticalDpi="300" r:id="rId2"/>
      <headerFooter alignWithMargins="0">
        <oddFooter>&amp;L&amp;7&amp;D&amp;C&amp;7&amp;P&amp;R&amp;7&amp;F</oddFooter>
      </headerFooter>
    </customSheetView>
    <customSheetView guid="{47D3AB49-9599-4A16-951B-F48FEC1C0136}" scale="75" showPageBreaks="1" showGridLines="0" topLeftCell="A67">
      <selection activeCell="D69" sqref="D69"/>
      <pageMargins left="0.39370078740157483" right="0.39370078740157483" top="0.39370078740157483" bottom="0.39370078740157483" header="0.19685039370078741" footer="0.19685039370078741"/>
      <pageSetup paperSize="9" scale="75" orientation="portrait" horizontalDpi="300" verticalDpi="300" r:id="rId3"/>
      <headerFooter alignWithMargins="0">
        <oddFooter>&amp;L&amp;7&amp;D&amp;C&amp;7&amp;P&amp;R&amp;7&amp;F</oddFooter>
      </headerFooter>
    </customSheetView>
    <customSheetView guid="{ECE607A2-8A26-46E0-8BDC-E9AD788F604C}" scale="85" showPageBreaks="1" showGridLines="0" view="pageBreakPreview" topLeftCell="A37">
      <selection activeCell="D68" activeCellId="1" sqref="D58 D68"/>
      <pageMargins left="0.39370078740157483" right="0.39370078740157483" top="0.39370078740157483" bottom="0.39370078740157483" header="0.19685039370078741" footer="0.19685039370078741"/>
      <pageSetup paperSize="9" scale="75" orientation="portrait" r:id="rId4"/>
      <headerFooter alignWithMargins="0">
        <oddFooter>&amp;L&amp;7&amp;D&amp;C&amp;7&amp;P&amp;R&amp;7&amp;F</oddFooter>
      </headerFooter>
    </customSheetView>
    <customSheetView guid="{FB1E0752-409C-4E7D-BCFE-7AEBEB8B5F0D}" scale="85" showPageBreaks="1" showGridLines="0" view="pageBreakPreview" topLeftCell="A4">
      <selection activeCell="E58" sqref="E58"/>
      <pageMargins left="0.39370078740157483" right="0.39370078740157483" top="0.39370078740157483" bottom="0.39370078740157483" header="0.19685039370078741" footer="0.19685039370078741"/>
      <pageSetup paperSize="9" scale="75" orientation="portrait" r:id="rId5"/>
      <headerFooter alignWithMargins="0">
        <oddFooter>&amp;L&amp;7&amp;D&amp;C&amp;7&amp;P&amp;R&amp;7&amp;F</oddFooter>
      </headerFooter>
    </customSheetView>
  </customSheetViews>
  <mergeCells count="3">
    <mergeCell ref="D3:E3"/>
    <mergeCell ref="D5:E5"/>
    <mergeCell ref="D1:E1"/>
  </mergeCells>
  <phoneticPr fontId="0" type="noConversion"/>
  <pageMargins left="0.39370078740157483" right="0.39370078740157483" top="0.39370078740157483" bottom="0.39370078740157483" header="0.19685039370078741" footer="0.19685039370078741"/>
  <pageSetup paperSize="9" scale="74" orientation="portrait" r:id="rId6"/>
  <headerFooter alignWithMargins="0">
    <oddFooter>&amp;L&amp;7&amp;D&amp;C&amp;7&amp;P&amp;R&amp;7&amp;F</oddFooter>
  </headerFooter>
  <rowBreaks count="1" manualBreakCount="1">
    <brk id="49" max="16383" man="1"/>
  </rowBreaks>
</worksheet>
</file>

<file path=xl/worksheets/sheet7.xml><?xml version="1.0" encoding="utf-8"?>
<worksheet xmlns="http://schemas.openxmlformats.org/spreadsheetml/2006/main" xmlns:r="http://schemas.openxmlformats.org/officeDocument/2006/relationships">
  <sheetPr codeName="Лист6"/>
  <dimension ref="B1:E47"/>
  <sheetViews>
    <sheetView topLeftCell="A6" workbookViewId="0">
      <selection activeCell="C11" sqref="C11"/>
    </sheetView>
  </sheetViews>
  <sheetFormatPr defaultRowHeight="18"/>
  <cols>
    <col min="1" max="1" width="2.42578125" style="72" customWidth="1"/>
    <col min="2" max="2" width="10.42578125" style="72" bestFit="1" customWidth="1"/>
    <col min="3" max="3" width="75.42578125" style="72" customWidth="1"/>
    <col min="4" max="5" width="20.7109375" style="72" customWidth="1"/>
    <col min="6" max="16384" width="9.140625" style="72"/>
  </cols>
  <sheetData>
    <row r="1" spans="2:5" s="70" customFormat="1" ht="29.25" customHeight="1">
      <c r="B1" s="68"/>
      <c r="C1" s="69"/>
      <c r="D1" s="1167" t="s">
        <v>1851</v>
      </c>
      <c r="E1" s="1168"/>
    </row>
    <row r="2" spans="2:5" s="70" customFormat="1">
      <c r="B2" s="68"/>
      <c r="C2" s="31" t="str">
        <f>T!E18</f>
        <v>Номгӯи ташкилоти қарзӣ</v>
      </c>
      <c r="D2" s="832"/>
      <c r="E2" s="831"/>
    </row>
    <row r="3" spans="2:5" s="70" customFormat="1">
      <c r="B3" s="68"/>
      <c r="C3" s="71" t="str">
        <f>T!B10</f>
        <v>Ҳисобот дар санаи</v>
      </c>
      <c r="D3" s="833"/>
      <c r="E3" s="833"/>
    </row>
    <row r="4" spans="2:5" s="70" customFormat="1">
      <c r="B4" s="68"/>
      <c r="C4" s="88" t="str">
        <f>'List of Scedules'!B6</f>
        <v>ҶАДВАЛИ 01.02. УҲДАДОРИҲО</v>
      </c>
      <c r="D4" s="833"/>
      <c r="E4" s="833"/>
    </row>
    <row r="5" spans="2:5" s="70" customFormat="1" ht="19.5">
      <c r="B5" s="68"/>
      <c r="C5" s="73"/>
      <c r="D5" s="1182"/>
      <c r="E5" s="1182"/>
    </row>
    <row r="6" spans="2:5" ht="36">
      <c r="B6" s="57"/>
      <c r="C6" s="58" t="s">
        <v>1040</v>
      </c>
      <c r="D6" s="5" t="s">
        <v>1268</v>
      </c>
      <c r="E6" s="6" t="s">
        <v>1269</v>
      </c>
    </row>
    <row r="7" spans="2:5">
      <c r="B7" s="59" t="s">
        <v>832</v>
      </c>
      <c r="C7" s="21" t="s">
        <v>1720</v>
      </c>
      <c r="D7" s="9"/>
      <c r="E7" s="9"/>
    </row>
    <row r="8" spans="2:5" ht="36">
      <c r="B8" s="59" t="s">
        <v>833</v>
      </c>
      <c r="C8" s="61" t="s">
        <v>184</v>
      </c>
      <c r="D8" s="62">
        <f>+D9+D13+D17+D21</f>
        <v>0</v>
      </c>
      <c r="E8" s="62">
        <f>+E9+E13+E17+E21</f>
        <v>0</v>
      </c>
    </row>
    <row r="9" spans="2:5">
      <c r="B9" s="59" t="s">
        <v>834</v>
      </c>
      <c r="C9" s="61" t="s">
        <v>185</v>
      </c>
      <c r="D9" s="62">
        <f>SUM(D10:D12)</f>
        <v>0</v>
      </c>
      <c r="E9" s="62">
        <f>SUM(E10:E12)</f>
        <v>0</v>
      </c>
    </row>
    <row r="10" spans="2:5">
      <c r="B10" s="59" t="s">
        <v>835</v>
      </c>
      <c r="C10" s="21" t="s">
        <v>2045</v>
      </c>
      <c r="D10" s="9"/>
      <c r="E10" s="9"/>
    </row>
    <row r="11" spans="2:5">
      <c r="B11" s="59" t="s">
        <v>836</v>
      </c>
      <c r="C11" s="21" t="s">
        <v>1041</v>
      </c>
      <c r="D11" s="9"/>
      <c r="E11" s="9"/>
    </row>
    <row r="12" spans="2:5">
      <c r="B12" s="59" t="s">
        <v>846</v>
      </c>
      <c r="C12" s="63" t="s">
        <v>1284</v>
      </c>
      <c r="D12" s="9"/>
      <c r="E12" s="9"/>
    </row>
    <row r="13" spans="2:5" ht="36">
      <c r="B13" s="59" t="s">
        <v>847</v>
      </c>
      <c r="C13" s="15" t="s">
        <v>1163</v>
      </c>
      <c r="D13" s="802">
        <f>SUM(D14:D16)</f>
        <v>0</v>
      </c>
      <c r="E13" s="802">
        <f>SUM(E14:E16)</f>
        <v>0</v>
      </c>
    </row>
    <row r="14" spans="2:5">
      <c r="B14" s="59" t="s">
        <v>187</v>
      </c>
      <c r="C14" s="21" t="s">
        <v>186</v>
      </c>
      <c r="D14" s="9"/>
      <c r="E14" s="9"/>
    </row>
    <row r="15" spans="2:5">
      <c r="B15" s="59" t="s">
        <v>188</v>
      </c>
      <c r="C15" s="21" t="s">
        <v>1041</v>
      </c>
      <c r="D15" s="9"/>
      <c r="E15" s="9"/>
    </row>
    <row r="16" spans="2:5">
      <c r="B16" s="59" t="s">
        <v>189</v>
      </c>
      <c r="C16" s="63" t="s">
        <v>1284</v>
      </c>
      <c r="D16" s="9"/>
      <c r="E16" s="9"/>
    </row>
    <row r="17" spans="2:5">
      <c r="B17" s="59" t="s">
        <v>848</v>
      </c>
      <c r="C17" s="65" t="s">
        <v>190</v>
      </c>
      <c r="D17" s="62">
        <f>SUM(D18:D20)</f>
        <v>0</v>
      </c>
      <c r="E17" s="62">
        <f>SUM(E18:E20)</f>
        <v>0</v>
      </c>
    </row>
    <row r="18" spans="2:5" ht="16.5" customHeight="1">
      <c r="B18" s="59" t="s">
        <v>849</v>
      </c>
      <c r="C18" s="63" t="s">
        <v>1288</v>
      </c>
      <c r="D18" s="9"/>
      <c r="E18" s="9"/>
    </row>
    <row r="19" spans="2:5">
      <c r="B19" s="59" t="s">
        <v>850</v>
      </c>
      <c r="C19" s="63" t="s">
        <v>1042</v>
      </c>
      <c r="D19" s="9"/>
      <c r="E19" s="9"/>
    </row>
    <row r="20" spans="2:5">
      <c r="B20" s="59" t="s">
        <v>851</v>
      </c>
      <c r="C20" s="63" t="s">
        <v>1284</v>
      </c>
      <c r="D20" s="9"/>
      <c r="E20" s="9"/>
    </row>
    <row r="21" spans="2:5" ht="36">
      <c r="B21" s="59" t="s">
        <v>852</v>
      </c>
      <c r="C21" s="15" t="s">
        <v>1164</v>
      </c>
      <c r="D21" s="62">
        <f>SUM(D22:D24)</f>
        <v>0</v>
      </c>
      <c r="E21" s="62">
        <f>SUM(E22:E24)</f>
        <v>0</v>
      </c>
    </row>
    <row r="22" spans="2:5">
      <c r="B22" s="59" t="s">
        <v>191</v>
      </c>
      <c r="C22" s="21" t="s">
        <v>186</v>
      </c>
      <c r="D22" s="9"/>
      <c r="E22" s="9"/>
    </row>
    <row r="23" spans="2:5">
      <c r="B23" s="59" t="s">
        <v>192</v>
      </c>
      <c r="C23" s="21" t="s">
        <v>1041</v>
      </c>
      <c r="D23" s="9"/>
      <c r="E23" s="9"/>
    </row>
    <row r="24" spans="2:5">
      <c r="B24" s="59" t="s">
        <v>193</v>
      </c>
      <c r="C24" s="63" t="s">
        <v>1284</v>
      </c>
      <c r="D24" s="9"/>
      <c r="E24" s="9"/>
    </row>
    <row r="25" spans="2:5" ht="36">
      <c r="B25" s="59" t="s">
        <v>853</v>
      </c>
      <c r="C25" s="63" t="s">
        <v>1043</v>
      </c>
      <c r="D25" s="9"/>
      <c r="E25" s="9"/>
    </row>
    <row r="26" spans="2:5">
      <c r="B26" s="59" t="s">
        <v>854</v>
      </c>
      <c r="C26" s="65" t="s">
        <v>1302</v>
      </c>
      <c r="D26" s="62">
        <f>+D27+D28</f>
        <v>0</v>
      </c>
      <c r="E26" s="62">
        <f>+E27+E28</f>
        <v>0</v>
      </c>
    </row>
    <row r="27" spans="2:5">
      <c r="B27" s="59" t="s">
        <v>855</v>
      </c>
      <c r="C27" s="63" t="s">
        <v>194</v>
      </c>
      <c r="D27" s="66"/>
      <c r="E27" s="60"/>
    </row>
    <row r="28" spans="2:5" ht="36">
      <c r="B28" s="59" t="s">
        <v>856</v>
      </c>
      <c r="C28" s="63" t="s">
        <v>195</v>
      </c>
      <c r="D28" s="66"/>
      <c r="E28" s="60"/>
    </row>
    <row r="29" spans="2:5">
      <c r="B29" s="59" t="s">
        <v>857</v>
      </c>
      <c r="C29" s="61" t="s">
        <v>196</v>
      </c>
      <c r="D29" s="62">
        <f>SUM(D30:D32)</f>
        <v>0</v>
      </c>
      <c r="E29" s="62">
        <f>SUM(E30:E32)</f>
        <v>0</v>
      </c>
    </row>
    <row r="30" spans="2:5">
      <c r="B30" s="59" t="s">
        <v>858</v>
      </c>
      <c r="C30" s="21" t="s">
        <v>197</v>
      </c>
      <c r="D30" s="9"/>
      <c r="E30" s="9"/>
    </row>
    <row r="31" spans="2:5">
      <c r="B31" s="59" t="s">
        <v>859</v>
      </c>
      <c r="C31" s="21" t="s">
        <v>198</v>
      </c>
      <c r="D31" s="9"/>
      <c r="E31" s="9"/>
    </row>
    <row r="32" spans="2:5">
      <c r="B32" s="59" t="s">
        <v>860</v>
      </c>
      <c r="C32" s="21" t="s">
        <v>1044</v>
      </c>
      <c r="D32" s="9"/>
      <c r="E32" s="9"/>
    </row>
    <row r="33" spans="2:5">
      <c r="B33" s="67" t="s">
        <v>861</v>
      </c>
      <c r="C33" s="21" t="s">
        <v>199</v>
      </c>
      <c r="D33" s="9"/>
      <c r="E33" s="9"/>
    </row>
    <row r="34" spans="2:5">
      <c r="B34" s="67" t="s">
        <v>862</v>
      </c>
      <c r="C34" s="21" t="s">
        <v>200</v>
      </c>
      <c r="D34" s="9"/>
      <c r="E34" s="9"/>
    </row>
    <row r="35" spans="2:5">
      <c r="B35" s="59" t="s">
        <v>863</v>
      </c>
      <c r="C35" s="21" t="s">
        <v>1278</v>
      </c>
      <c r="D35" s="9"/>
      <c r="E35" s="9"/>
    </row>
    <row r="36" spans="2:5">
      <c r="B36" s="59" t="s">
        <v>864</v>
      </c>
      <c r="C36" s="61" t="s">
        <v>1045</v>
      </c>
      <c r="D36" s="62">
        <f>+D37+D41+D42+D43+D44+D45</f>
        <v>0</v>
      </c>
      <c r="E36" s="62">
        <f>+E37+E41+E42+E43+E44+E45</f>
        <v>0</v>
      </c>
    </row>
    <row r="37" spans="2:5">
      <c r="B37" s="59" t="s">
        <v>865</v>
      </c>
      <c r="C37" s="61" t="s">
        <v>735</v>
      </c>
      <c r="D37" s="62">
        <f>SUM(D38:D40)</f>
        <v>0</v>
      </c>
      <c r="E37" s="62">
        <f>SUM(E38:E40)</f>
        <v>0</v>
      </c>
    </row>
    <row r="38" spans="2:5">
      <c r="B38" s="59" t="s">
        <v>866</v>
      </c>
      <c r="C38" s="21" t="s">
        <v>201</v>
      </c>
      <c r="D38" s="9"/>
      <c r="E38" s="9"/>
    </row>
    <row r="39" spans="2:5">
      <c r="B39" s="10" t="s">
        <v>202</v>
      </c>
      <c r="C39" s="8" t="s">
        <v>203</v>
      </c>
      <c r="D39" s="9"/>
      <c r="E39" s="9"/>
    </row>
    <row r="40" spans="2:5">
      <c r="B40" s="67" t="s">
        <v>867</v>
      </c>
      <c r="C40" s="21" t="s">
        <v>1046</v>
      </c>
      <c r="D40" s="9"/>
      <c r="E40" s="9"/>
    </row>
    <row r="41" spans="2:5">
      <c r="B41" s="59" t="s">
        <v>868</v>
      </c>
      <c r="C41" s="21" t="s">
        <v>204</v>
      </c>
      <c r="D41" s="9"/>
      <c r="E41" s="9"/>
    </row>
    <row r="42" spans="2:5">
      <c r="B42" s="59" t="s">
        <v>2044</v>
      </c>
      <c r="C42" s="19" t="s">
        <v>2047</v>
      </c>
      <c r="D42" s="9"/>
      <c r="E42" s="9"/>
    </row>
    <row r="43" spans="2:5">
      <c r="B43" s="59" t="s">
        <v>869</v>
      </c>
      <c r="C43" s="21" t="s">
        <v>2046</v>
      </c>
      <c r="D43" s="9"/>
      <c r="E43" s="9"/>
    </row>
    <row r="44" spans="2:5">
      <c r="B44" s="59" t="s">
        <v>889</v>
      </c>
      <c r="C44" s="21" t="s">
        <v>205</v>
      </c>
      <c r="D44" s="9"/>
      <c r="E44" s="9"/>
    </row>
    <row r="45" spans="2:5">
      <c r="B45" s="59" t="s">
        <v>802</v>
      </c>
      <c r="C45" s="61" t="s">
        <v>1047</v>
      </c>
      <c r="D45" s="62">
        <f>+BB01.05!D22</f>
        <v>0</v>
      </c>
      <c r="E45" s="62">
        <f>+BB01.05!E22</f>
        <v>0</v>
      </c>
    </row>
    <row r="46" spans="2:5">
      <c r="B46" s="59" t="s">
        <v>890</v>
      </c>
      <c r="C46" s="1057" t="s">
        <v>2279</v>
      </c>
      <c r="D46" s="1063">
        <v>0</v>
      </c>
      <c r="E46" s="1064">
        <v>0</v>
      </c>
    </row>
    <row r="47" spans="2:5">
      <c r="B47" s="59" t="s">
        <v>891</v>
      </c>
      <c r="C47" s="65" t="s">
        <v>1048</v>
      </c>
      <c r="D47" s="62">
        <f>+D7+D8+D25+D26+D29+D33+D34+D35+D36+D46</f>
        <v>0</v>
      </c>
      <c r="E47" s="62">
        <f>+E7+E8+E25+E26+E29+E33+E34+E35+E36+E46</f>
        <v>0</v>
      </c>
    </row>
  </sheetData>
  <sheetProtection password="E9D4" sheet="1" objects="1" scenarios="1"/>
  <customSheetViews>
    <customSheetView guid="{871F8275-217B-436F-8813-871F820F0EE4}" scale="85" showPageBreaks="1" showGridLines="0" view="pageBreakPreview" topLeftCell="A25">
      <selection activeCell="E30" sqref="E30"/>
      <pageMargins left="0.39370078740157483" right="0.39370078740157483" top="0.39370078740157483" bottom="0.39370078740157483" header="0.19685039370078741" footer="0.19685039370078741"/>
      <pageSetup paperSize="9" scale="75" orientation="portrait" r:id="rId1"/>
      <headerFooter alignWithMargins="0">
        <oddFooter>&amp;L&amp;7&amp;D&amp;C&amp;7&amp;P&amp;R&amp;7&amp;F</oddFooter>
      </headerFooter>
    </customSheetView>
    <customSheetView guid="{2EBF18CB-80C9-43ED-A978-2AAEAC40933E}" scale="75" showGridLines="0" showRuler="0" topLeftCell="B22">
      <selection activeCell="D32" sqref="D32"/>
      <pageMargins left="0.39370078740157483" right="0.39370078740157483" top="0.39370078740157483" bottom="0.39370078740157483" header="0.19685039370078741" footer="0.19685039370078741"/>
      <pageSetup paperSize="9" scale="75" orientation="portrait" horizontalDpi="300" verticalDpi="300" r:id="rId2"/>
      <headerFooter alignWithMargins="0">
        <oddFooter>&amp;L&amp;7&amp;D&amp;C&amp;7&amp;P&amp;R&amp;7&amp;F</oddFooter>
      </headerFooter>
    </customSheetView>
    <customSheetView guid="{47D3AB49-9599-4A16-951B-F48FEC1C0136}" scale="75" showGridLines="0" topLeftCell="A13">
      <selection activeCell="D39" sqref="D39"/>
      <pageMargins left="0.39370078740157483" right="0.39370078740157483" top="0.39370078740157483" bottom="0.39370078740157483" header="0.19685039370078741" footer="0.19685039370078741"/>
      <pageSetup paperSize="9" scale="75" orientation="portrait" horizontalDpi="300" verticalDpi="300" r:id="rId3"/>
      <headerFooter alignWithMargins="0">
        <oddFooter>&amp;L&amp;7&amp;D&amp;C&amp;7&amp;P&amp;R&amp;7&amp;F</oddFooter>
      </headerFooter>
    </customSheetView>
    <customSheetView guid="{ECE607A2-8A26-46E0-8BDC-E9AD788F604C}" scale="85" showPageBreaks="1" showGridLines="0" view="pageBreakPreview" topLeftCell="A10">
      <selection activeCell="D17" activeCellId="1" sqref="D9 D17"/>
      <pageMargins left="0.39370078740157483" right="0.39370078740157483" top="0.39370078740157483" bottom="0.39370078740157483" header="0.19685039370078741" footer="0.19685039370078741"/>
      <pageSetup paperSize="9" scale="75" orientation="portrait" r:id="rId4"/>
      <headerFooter alignWithMargins="0">
        <oddFooter>&amp;L&amp;7&amp;D&amp;C&amp;7&amp;P&amp;R&amp;7&amp;F</oddFooter>
      </headerFooter>
    </customSheetView>
    <customSheetView guid="{FB1E0752-409C-4E7D-BCFE-7AEBEB8B5F0D}" scale="85" showPageBreaks="1" showGridLines="0" view="pageBreakPreview" topLeftCell="C16">
      <selection activeCell="D34" sqref="D34"/>
      <pageMargins left="0.39370078740157483" right="0.39370078740157483" top="0.39370078740157483" bottom="0.39370078740157483" header="0.19685039370078741" footer="0.19685039370078741"/>
      <pageSetup paperSize="9" scale="75" orientation="portrait" r:id="rId5"/>
      <headerFooter alignWithMargins="0">
        <oddFooter>&amp;L&amp;7&amp;D&amp;C&amp;7&amp;P&amp;R&amp;7&amp;F</oddFooter>
      </headerFooter>
    </customSheetView>
  </customSheetViews>
  <mergeCells count="2">
    <mergeCell ref="D5:E5"/>
    <mergeCell ref="D1:E1"/>
  </mergeCells>
  <phoneticPr fontId="0" type="noConversion"/>
  <pageMargins left="0.39370078740157483" right="0.39370078740157483" top="0.39370078740157483" bottom="0.39370078740157483" header="0.19685039370078741" footer="0.19685039370078741"/>
  <pageSetup paperSize="9" scale="74" orientation="portrait" r:id="rId6"/>
  <headerFooter alignWithMargins="0">
    <oddFooter>&amp;L&amp;7&amp;D&amp;C&amp;7&amp;P&amp;R&amp;7&amp;F</oddFooter>
  </headerFooter>
</worksheet>
</file>

<file path=xl/worksheets/sheet8.xml><?xml version="1.0" encoding="utf-8"?>
<worksheet xmlns="http://schemas.openxmlformats.org/spreadsheetml/2006/main" xmlns:r="http://schemas.openxmlformats.org/officeDocument/2006/relationships">
  <sheetPr codeName="Лист7">
    <pageSetUpPr fitToPage="1"/>
  </sheetPr>
  <dimension ref="B1:E26"/>
  <sheetViews>
    <sheetView topLeftCell="A11" workbookViewId="0">
      <selection activeCell="H20" sqref="H20"/>
    </sheetView>
  </sheetViews>
  <sheetFormatPr defaultRowHeight="18"/>
  <cols>
    <col min="1" max="1" width="2.28515625" style="91" customWidth="1"/>
    <col min="2" max="2" width="10.5703125" style="91" customWidth="1"/>
    <col min="3" max="3" width="60.28515625" style="91" customWidth="1"/>
    <col min="4" max="5" width="20.7109375" style="91" customWidth="1"/>
    <col min="6" max="16384" width="9.140625" style="91"/>
  </cols>
  <sheetData>
    <row r="1" spans="2:5" s="87" customFormat="1" ht="29.25" customHeight="1">
      <c r="B1" s="84"/>
      <c r="C1" s="85"/>
      <c r="D1" s="1167" t="s">
        <v>1852</v>
      </c>
      <c r="E1" s="1168"/>
    </row>
    <row r="2" spans="2:5" s="87" customFormat="1">
      <c r="B2" s="84"/>
      <c r="C2" s="39" t="str">
        <f>T!E18</f>
        <v>Номгӯи ташкилоти қарзӣ</v>
      </c>
      <c r="D2" s="834"/>
      <c r="E2" s="37"/>
    </row>
    <row r="3" spans="2:5" s="87" customFormat="1">
      <c r="B3" s="84"/>
      <c r="C3" s="88" t="str">
        <f>T!B10</f>
        <v>Ҳисобот дар санаи</v>
      </c>
      <c r="D3" s="1183"/>
      <c r="E3" s="1183"/>
    </row>
    <row r="4" spans="2:5" s="87" customFormat="1">
      <c r="B4" s="84"/>
      <c r="C4" s="89" t="str">
        <f>'List of Scedules'!B7</f>
        <v>ҶАДВАЛИ 01.03. САРМОЯ</v>
      </c>
      <c r="D4" s="90"/>
      <c r="E4" s="90"/>
    </row>
    <row r="5" spans="2:5">
      <c r="B5" s="84"/>
      <c r="C5" s="89"/>
      <c r="D5" s="90"/>
      <c r="E5" s="90"/>
    </row>
    <row r="6" spans="2:5" ht="36">
      <c r="B6" s="74"/>
      <c r="C6" s="75" t="s">
        <v>1722</v>
      </c>
      <c r="D6" s="5" t="s">
        <v>1268</v>
      </c>
      <c r="E6" s="6" t="s">
        <v>1269</v>
      </c>
    </row>
    <row r="7" spans="2:5">
      <c r="B7" s="76" t="s">
        <v>742</v>
      </c>
      <c r="C7" s="77" t="s">
        <v>206</v>
      </c>
      <c r="D7" s="78">
        <f>+D8+D9</f>
        <v>0</v>
      </c>
      <c r="E7" s="78">
        <f>+E8+E9</f>
        <v>0</v>
      </c>
    </row>
    <row r="8" spans="2:5">
      <c r="B8" s="76" t="s">
        <v>743</v>
      </c>
      <c r="C8" s="79" t="s">
        <v>207</v>
      </c>
      <c r="D8" s="9"/>
      <c r="E8" s="80">
        <v>0</v>
      </c>
    </row>
    <row r="9" spans="2:5">
      <c r="B9" s="76" t="s">
        <v>744</v>
      </c>
      <c r="C9" s="79" t="s">
        <v>208</v>
      </c>
      <c r="D9" s="9"/>
      <c r="E9" s="80">
        <v>0</v>
      </c>
    </row>
    <row r="10" spans="2:5">
      <c r="B10" s="76" t="s">
        <v>745</v>
      </c>
      <c r="C10" s="81" t="s">
        <v>1260</v>
      </c>
      <c r="D10" s="9"/>
      <c r="E10" s="80">
        <v>0</v>
      </c>
    </row>
    <row r="11" spans="2:5">
      <c r="B11" s="76" t="s">
        <v>746</v>
      </c>
      <c r="C11" s="81" t="s">
        <v>707</v>
      </c>
      <c r="D11" s="9"/>
      <c r="E11" s="80">
        <v>0</v>
      </c>
    </row>
    <row r="12" spans="2:5">
      <c r="B12" s="76" t="s">
        <v>747</v>
      </c>
      <c r="C12" s="81" t="s">
        <v>1263</v>
      </c>
      <c r="D12" s="9"/>
      <c r="E12" s="80">
        <v>0</v>
      </c>
    </row>
    <row r="13" spans="2:5">
      <c r="B13" s="76" t="s">
        <v>748</v>
      </c>
      <c r="C13" s="81" t="s">
        <v>209</v>
      </c>
      <c r="D13" s="9"/>
      <c r="E13" s="80">
        <v>0</v>
      </c>
    </row>
    <row r="14" spans="2:5">
      <c r="B14" s="76" t="s">
        <v>892</v>
      </c>
      <c r="C14" s="81" t="s">
        <v>210</v>
      </c>
      <c r="D14" s="9"/>
      <c r="E14" s="80">
        <v>0</v>
      </c>
    </row>
    <row r="15" spans="2:5">
      <c r="B15" s="76" t="s">
        <v>749</v>
      </c>
      <c r="C15" s="81" t="s">
        <v>211</v>
      </c>
      <c r="D15" s="9"/>
      <c r="E15" s="80">
        <v>0</v>
      </c>
    </row>
    <row r="16" spans="2:5">
      <c r="B16" s="76" t="s">
        <v>750</v>
      </c>
      <c r="C16" s="81" t="s">
        <v>212</v>
      </c>
      <c r="D16" s="9"/>
      <c r="E16" s="80">
        <v>0</v>
      </c>
    </row>
    <row r="17" spans="2:5">
      <c r="B17" s="76" t="s">
        <v>751</v>
      </c>
      <c r="C17" s="81" t="s">
        <v>733</v>
      </c>
      <c r="D17" s="9"/>
      <c r="E17" s="80">
        <v>0</v>
      </c>
    </row>
    <row r="18" spans="2:5">
      <c r="B18" s="76" t="s">
        <v>752</v>
      </c>
      <c r="C18" s="82" t="s">
        <v>213</v>
      </c>
      <c r="D18" s="78">
        <f>SUM(D19:D23)</f>
        <v>0</v>
      </c>
      <c r="E18" s="78">
        <f>SUM(E19:E23)</f>
        <v>0</v>
      </c>
    </row>
    <row r="19" spans="2:5">
      <c r="B19" s="76" t="s">
        <v>893</v>
      </c>
      <c r="C19" s="81" t="s">
        <v>2218</v>
      </c>
      <c r="D19" s="80"/>
      <c r="E19" s="80"/>
    </row>
    <row r="20" spans="2:5">
      <c r="B20" s="1042" t="s">
        <v>2280</v>
      </c>
      <c r="C20" s="1043" t="s">
        <v>2281</v>
      </c>
      <c r="D20" s="1065"/>
      <c r="E20" s="1065"/>
    </row>
    <row r="21" spans="2:5">
      <c r="B21" s="1042" t="s">
        <v>2336</v>
      </c>
      <c r="C21" s="1043" t="s">
        <v>2282</v>
      </c>
      <c r="D21" s="1065"/>
      <c r="E21" s="1065"/>
    </row>
    <row r="22" spans="2:5">
      <c r="B22" s="76" t="s">
        <v>894</v>
      </c>
      <c r="C22" s="81" t="s">
        <v>214</v>
      </c>
      <c r="D22" s="80"/>
      <c r="E22" s="80"/>
    </row>
    <row r="23" spans="2:5">
      <c r="B23" s="76" t="s">
        <v>895</v>
      </c>
      <c r="C23" s="81" t="s">
        <v>215</v>
      </c>
      <c r="D23" s="80"/>
      <c r="E23" s="80"/>
    </row>
    <row r="24" spans="2:5">
      <c r="B24" s="76" t="s">
        <v>591</v>
      </c>
      <c r="C24" s="79" t="s">
        <v>216</v>
      </c>
      <c r="D24" s="80"/>
      <c r="E24" s="80"/>
    </row>
    <row r="25" spans="2:5">
      <c r="B25" s="76" t="s">
        <v>896</v>
      </c>
      <c r="C25" s="83" t="s">
        <v>217</v>
      </c>
      <c r="D25" s="78">
        <f>D8+D9+D10+D11+D12+D13+D14+D15+D16+D17+D18+D24</f>
        <v>0</v>
      </c>
      <c r="E25" s="78">
        <f>E8+E9+E10+E11+E12+E13+E14+E15+E16+E17+E18+E24</f>
        <v>0</v>
      </c>
    </row>
    <row r="26" spans="2:5">
      <c r="B26" s="76" t="s">
        <v>897</v>
      </c>
      <c r="C26" s="77" t="s">
        <v>1054</v>
      </c>
      <c r="D26" s="78">
        <f>+BL01.02!D47+D25</f>
        <v>0</v>
      </c>
      <c r="E26" s="78">
        <f>+BL01.02!E47+E25</f>
        <v>0</v>
      </c>
    </row>
  </sheetData>
  <sheetProtection password="E9D4" sheet="1" objects="1" scenarios="1"/>
  <customSheetViews>
    <customSheetView guid="{871F8275-217B-436F-8813-871F820F0EE4}" scale="85" showPageBreaks="1" showGridLines="0" fitToPage="1" view="pageBreakPreview">
      <selection activeCell="D14" sqref="D14"/>
      <pageMargins left="0.39370078740157483" right="0.39370078740157483" top="0.39370078740157483" bottom="0.39370078740157483" header="0.19685039370078741" footer="0.19685039370078741"/>
      <pageSetup paperSize="9" scale="85" orientation="portrait" r:id="rId1"/>
      <headerFooter alignWithMargins="0">
        <oddFooter>&amp;L&amp;7&amp;D&amp;C&amp;7&amp;P&amp;R&amp;7&amp;F</oddFooter>
      </headerFooter>
    </customSheetView>
    <customSheetView guid="{2EBF18CB-80C9-43ED-A978-2AAEAC40933E}" scale="75" showGridLines="0" fitToPage="1" showRuler="0">
      <selection activeCell="C19" sqref="C19"/>
      <pageMargins left="0.39370078740157483" right="0.39370078740157483" top="0.39370078740157483" bottom="0.39370078740157483" header="0.19685039370078741" footer="0.19685039370078741"/>
      <pageSetup paperSize="9" scale="84" orientation="portrait" horizontalDpi="300" verticalDpi="300" r:id="rId2"/>
      <headerFooter alignWithMargins="0">
        <oddFooter>&amp;L&amp;7&amp;D&amp;C&amp;7&amp;P&amp;R&amp;7&amp;F</oddFooter>
      </headerFooter>
    </customSheetView>
    <customSheetView guid="{47D3AB49-9599-4A16-951B-F48FEC1C0136}" scale="75" showGridLines="0" fitToPage="1">
      <selection activeCell="D14" sqref="D14"/>
      <pageMargins left="0.39370078740157483" right="0.39370078740157483" top="0.39370078740157483" bottom="0.39370078740157483" header="0.19685039370078741" footer="0.19685039370078741"/>
      <pageSetup paperSize="9" scale="84" orientation="portrait" horizontalDpi="300" verticalDpi="300" r:id="rId3"/>
      <headerFooter alignWithMargins="0">
        <oddFooter>&amp;L&amp;7&amp;D&amp;C&amp;7&amp;P&amp;R&amp;7&amp;F</oddFooter>
      </headerFooter>
    </customSheetView>
    <customSheetView guid="{ECE607A2-8A26-46E0-8BDC-E9AD788F604C}" scale="85" showPageBreaks="1" showGridLines="0" fitToPage="1" view="pageBreakPreview">
      <selection activeCell="D14" sqref="D14"/>
      <pageMargins left="0.39370078740157483" right="0.39370078740157483" top="0.39370078740157483" bottom="0.39370078740157483" header="0.19685039370078741" footer="0.19685039370078741"/>
      <pageSetup paperSize="9" scale="85" orientation="portrait" r:id="rId4"/>
      <headerFooter alignWithMargins="0">
        <oddFooter>&amp;L&amp;7&amp;D&amp;C&amp;7&amp;P&amp;R&amp;7&amp;F</oddFooter>
      </headerFooter>
    </customSheetView>
    <customSheetView guid="{FB1E0752-409C-4E7D-BCFE-7AEBEB8B5F0D}" scale="85" showPageBreaks="1" showGridLines="0" fitToPage="1" view="pageBreakPreview">
      <selection activeCell="D14" sqref="D14"/>
      <pageMargins left="0.39370078740157483" right="0.39370078740157483" top="0.39370078740157483" bottom="0.39370078740157483" header="0.19685039370078741" footer="0.19685039370078741"/>
      <pageSetup paperSize="9" scale="84" orientation="portrait" r:id="rId5"/>
      <headerFooter alignWithMargins="0">
        <oddFooter>&amp;L&amp;7&amp;D&amp;C&amp;7&amp;P&amp;R&amp;7&amp;F</oddFooter>
      </headerFooter>
    </customSheetView>
  </customSheetViews>
  <mergeCells count="2">
    <mergeCell ref="D3:E3"/>
    <mergeCell ref="D1:E1"/>
  </mergeCells>
  <phoneticPr fontId="0" type="noConversion"/>
  <pageMargins left="0.39370078740157483" right="0.39370078740157483" top="0.39370078740157483" bottom="0.39370078740157483" header="0.19685039370078741" footer="0.19685039370078741"/>
  <pageSetup paperSize="9" scale="85" orientation="portrait" r:id="rId6"/>
  <headerFooter alignWithMargins="0">
    <oddFooter>&amp;L&amp;7&amp;D&amp;C&amp;7&amp;P&amp;R&amp;7&amp;F</oddFooter>
  </headerFooter>
</worksheet>
</file>

<file path=xl/worksheets/sheet9.xml><?xml version="1.0" encoding="utf-8"?>
<worksheet xmlns="http://schemas.openxmlformats.org/spreadsheetml/2006/main" xmlns:r="http://schemas.openxmlformats.org/officeDocument/2006/relationships">
  <sheetPr codeName="Лист8"/>
  <dimension ref="B1:E37"/>
  <sheetViews>
    <sheetView topLeftCell="A3" workbookViewId="0">
      <selection activeCell="H14" sqref="H14"/>
    </sheetView>
  </sheetViews>
  <sheetFormatPr defaultRowHeight="18"/>
  <cols>
    <col min="1" max="1" width="1.85546875" style="91" customWidth="1"/>
    <col min="2" max="2" width="10.5703125" style="91" customWidth="1"/>
    <col min="3" max="3" width="67.5703125" style="91" customWidth="1"/>
    <col min="4" max="5" width="20.7109375" style="91" customWidth="1"/>
    <col min="6" max="16384" width="9.140625" style="91"/>
  </cols>
  <sheetData>
    <row r="1" spans="2:5" s="87" customFormat="1" ht="31.5" customHeight="1">
      <c r="B1" s="102"/>
      <c r="C1" s="103"/>
      <c r="D1" s="1167" t="s">
        <v>1853</v>
      </c>
      <c r="E1" s="1168"/>
    </row>
    <row r="2" spans="2:5" s="87" customFormat="1">
      <c r="B2" s="102"/>
      <c r="C2" s="104" t="str">
        <f>T!E18</f>
        <v>Номгӯи ташкилоти қарзӣ</v>
      </c>
      <c r="D2" s="835"/>
      <c r="E2" s="37"/>
    </row>
    <row r="3" spans="2:5" s="87" customFormat="1">
      <c r="B3" s="102"/>
      <c r="C3" s="105" t="str">
        <f>T!B10</f>
        <v>Ҳисобот дар санаи</v>
      </c>
      <c r="D3" s="835"/>
      <c r="E3" s="37"/>
    </row>
    <row r="4" spans="2:5" s="87" customFormat="1">
      <c r="B4" s="102"/>
      <c r="C4" s="39" t="str">
        <f>'List of Scedules'!B8</f>
        <v>ҶАДВАЛИ 01.04. ҲИСОБҲОИ ҒАЙРИТАВОЗУНӢ</v>
      </c>
      <c r="D4" s="835"/>
      <c r="E4" s="37"/>
    </row>
    <row r="5" spans="2:5" s="87" customFormat="1">
      <c r="B5" s="102"/>
      <c r="C5" s="106"/>
      <c r="D5" s="1184"/>
      <c r="E5" s="1184"/>
    </row>
    <row r="6" spans="2:5" ht="36">
      <c r="B6" s="92"/>
      <c r="C6" s="75" t="s">
        <v>218</v>
      </c>
      <c r="D6" s="5" t="s">
        <v>1268</v>
      </c>
      <c r="E6" s="6" t="s">
        <v>1269</v>
      </c>
    </row>
    <row r="7" spans="2:5">
      <c r="B7" s="93" t="s">
        <v>753</v>
      </c>
      <c r="C7" s="77" t="s">
        <v>219</v>
      </c>
      <c r="D7" s="78">
        <f>+D8+D13+D17+D20+D23+D24+D25+D26+D27+D30+D33+D36+D37</f>
        <v>0</v>
      </c>
      <c r="E7" s="78">
        <f>+E8+E13+E17+E20+E23+E24+E25+E26+E27+E30+E33+E36+E37</f>
        <v>0</v>
      </c>
    </row>
    <row r="8" spans="2:5">
      <c r="B8" s="93" t="s">
        <v>754</v>
      </c>
      <c r="C8" s="77" t="s">
        <v>1724</v>
      </c>
      <c r="D8" s="78">
        <f>SUM(D9:D12)</f>
        <v>0</v>
      </c>
      <c r="E8" s="78">
        <f>SUM(E9:E12)</f>
        <v>0</v>
      </c>
    </row>
    <row r="9" spans="2:5">
      <c r="B9" s="93" t="s">
        <v>755</v>
      </c>
      <c r="C9" s="79" t="s">
        <v>220</v>
      </c>
      <c r="D9" s="80"/>
      <c r="E9" s="80"/>
    </row>
    <row r="10" spans="2:5">
      <c r="B10" s="93" t="s">
        <v>756</v>
      </c>
      <c r="C10" s="79" t="s">
        <v>221</v>
      </c>
      <c r="D10" s="80"/>
      <c r="E10" s="80"/>
    </row>
    <row r="11" spans="2:5">
      <c r="B11" s="93" t="s">
        <v>757</v>
      </c>
      <c r="C11" s="79" t="s">
        <v>222</v>
      </c>
      <c r="D11" s="9"/>
      <c r="E11" s="9"/>
    </row>
    <row r="12" spans="2:5">
      <c r="B12" s="93" t="s">
        <v>758</v>
      </c>
      <c r="C12" s="79" t="s">
        <v>223</v>
      </c>
      <c r="D12" s="80"/>
      <c r="E12" s="80"/>
    </row>
    <row r="13" spans="2:5">
      <c r="B13" s="93" t="s">
        <v>760</v>
      </c>
      <c r="C13" s="82" t="s">
        <v>1055</v>
      </c>
      <c r="D13" s="78">
        <f>SUM(D14:D16)</f>
        <v>0</v>
      </c>
      <c r="E13" s="78">
        <f>SUM(E14:E16)</f>
        <v>0</v>
      </c>
    </row>
    <row r="14" spans="2:5">
      <c r="B14" s="93" t="s">
        <v>761</v>
      </c>
      <c r="C14" s="79" t="s">
        <v>220</v>
      </c>
      <c r="D14" s="9"/>
      <c r="E14" s="9"/>
    </row>
    <row r="15" spans="2:5">
      <c r="B15" s="93" t="s">
        <v>762</v>
      </c>
      <c r="C15" s="94" t="s">
        <v>221</v>
      </c>
      <c r="D15" s="9"/>
      <c r="E15" s="9"/>
    </row>
    <row r="16" spans="2:5">
      <c r="B16" s="93" t="s">
        <v>763</v>
      </c>
      <c r="C16" s="79" t="s">
        <v>1264</v>
      </c>
      <c r="D16" s="9"/>
      <c r="E16" s="9"/>
    </row>
    <row r="17" spans="2:5">
      <c r="B17" s="93" t="s">
        <v>773</v>
      </c>
      <c r="C17" s="77" t="s">
        <v>224</v>
      </c>
      <c r="D17" s="78">
        <f>SUM(D18:D19)</f>
        <v>0</v>
      </c>
      <c r="E17" s="78">
        <f>SUM(E18:E19)</f>
        <v>0</v>
      </c>
    </row>
    <row r="18" spans="2:5">
      <c r="B18" s="93" t="s">
        <v>774</v>
      </c>
      <c r="C18" s="79" t="s">
        <v>225</v>
      </c>
      <c r="D18" s="9"/>
      <c r="E18" s="9"/>
    </row>
    <row r="19" spans="2:5">
      <c r="B19" s="93" t="s">
        <v>329</v>
      </c>
      <c r="C19" s="79" t="s">
        <v>307</v>
      </c>
      <c r="D19" s="9"/>
      <c r="E19" s="9"/>
    </row>
    <row r="20" spans="2:5">
      <c r="B20" s="93" t="s">
        <v>775</v>
      </c>
      <c r="C20" s="77" t="s">
        <v>226</v>
      </c>
      <c r="D20" s="78">
        <f>+D21+D22</f>
        <v>0</v>
      </c>
      <c r="E20" s="78">
        <f>+E21+E22</f>
        <v>0</v>
      </c>
    </row>
    <row r="21" spans="2:5">
      <c r="B21" s="93" t="s">
        <v>776</v>
      </c>
      <c r="C21" s="79" t="s">
        <v>1265</v>
      </c>
      <c r="D21" s="80"/>
      <c r="E21" s="80"/>
    </row>
    <row r="22" spans="2:5">
      <c r="B22" s="93" t="s">
        <v>777</v>
      </c>
      <c r="C22" s="81" t="s">
        <v>1266</v>
      </c>
      <c r="D22" s="80"/>
      <c r="E22" s="80"/>
    </row>
    <row r="23" spans="2:5">
      <c r="B23" s="93" t="s">
        <v>778</v>
      </c>
      <c r="C23" s="81" t="s">
        <v>227</v>
      </c>
      <c r="D23" s="9"/>
      <c r="E23" s="99"/>
    </row>
    <row r="24" spans="2:5" ht="36">
      <c r="B24" s="93" t="s">
        <v>779</v>
      </c>
      <c r="C24" s="95" t="s">
        <v>228</v>
      </c>
      <c r="D24" s="9"/>
      <c r="E24" s="80"/>
    </row>
    <row r="25" spans="2:5">
      <c r="B25" s="93" t="s">
        <v>780</v>
      </c>
      <c r="C25" s="79" t="s">
        <v>1056</v>
      </c>
      <c r="D25" s="9"/>
      <c r="E25" s="80"/>
    </row>
    <row r="26" spans="2:5">
      <c r="B26" s="93" t="s">
        <v>781</v>
      </c>
      <c r="C26" s="96" t="s">
        <v>229</v>
      </c>
      <c r="D26" s="9"/>
      <c r="E26" s="80"/>
    </row>
    <row r="27" spans="2:5">
      <c r="B27" s="93" t="s">
        <v>782</v>
      </c>
      <c r="C27" s="97" t="s">
        <v>230</v>
      </c>
      <c r="D27" s="802">
        <f>+D28+D29</f>
        <v>0</v>
      </c>
      <c r="E27" s="802">
        <f>+E28+E29</f>
        <v>0</v>
      </c>
    </row>
    <row r="28" spans="2:5">
      <c r="B28" s="93" t="s">
        <v>783</v>
      </c>
      <c r="C28" s="98" t="s">
        <v>231</v>
      </c>
      <c r="D28" s="9">
        <v>0</v>
      </c>
      <c r="E28" s="9">
        <v>0</v>
      </c>
    </row>
    <row r="29" spans="2:5">
      <c r="B29" s="93" t="s">
        <v>923</v>
      </c>
      <c r="C29" s="98" t="s">
        <v>232</v>
      </c>
      <c r="D29" s="9">
        <v>0</v>
      </c>
      <c r="E29" s="9">
        <v>0</v>
      </c>
    </row>
    <row r="30" spans="2:5">
      <c r="B30" s="93" t="s">
        <v>233</v>
      </c>
      <c r="C30" s="97" t="s">
        <v>234</v>
      </c>
      <c r="D30" s="64">
        <f>+D31+D32</f>
        <v>0</v>
      </c>
      <c r="E30" s="64">
        <f>+E31+E32</f>
        <v>0</v>
      </c>
    </row>
    <row r="31" spans="2:5">
      <c r="B31" s="93" t="s">
        <v>235</v>
      </c>
      <c r="C31" s="92" t="s">
        <v>236</v>
      </c>
      <c r="D31" s="99">
        <v>0</v>
      </c>
      <c r="E31" s="99">
        <v>0</v>
      </c>
    </row>
    <row r="32" spans="2:5">
      <c r="B32" s="93" t="s">
        <v>237</v>
      </c>
      <c r="C32" s="100" t="s">
        <v>238</v>
      </c>
      <c r="D32" s="99">
        <v>0</v>
      </c>
      <c r="E32" s="99">
        <v>0</v>
      </c>
    </row>
    <row r="33" spans="2:5">
      <c r="B33" s="93" t="s">
        <v>239</v>
      </c>
      <c r="C33" s="97" t="s">
        <v>240</v>
      </c>
      <c r="D33" s="64">
        <f>+D34+D35</f>
        <v>0</v>
      </c>
      <c r="E33" s="64">
        <f>+E34+E35</f>
        <v>0</v>
      </c>
    </row>
    <row r="34" spans="2:5">
      <c r="B34" s="93" t="s">
        <v>241</v>
      </c>
      <c r="C34" s="92" t="s">
        <v>236</v>
      </c>
      <c r="D34" s="99">
        <v>0</v>
      </c>
      <c r="E34" s="99">
        <v>0</v>
      </c>
    </row>
    <row r="35" spans="2:5">
      <c r="B35" s="93" t="s">
        <v>242</v>
      </c>
      <c r="C35" s="100" t="s">
        <v>238</v>
      </c>
      <c r="D35" s="99">
        <v>0</v>
      </c>
      <c r="E35" s="99">
        <v>0</v>
      </c>
    </row>
    <row r="36" spans="2:5">
      <c r="B36" s="93" t="s">
        <v>243</v>
      </c>
      <c r="C36" s="101" t="s">
        <v>244</v>
      </c>
      <c r="D36" s="99">
        <v>0</v>
      </c>
      <c r="E36" s="99">
        <v>0</v>
      </c>
    </row>
    <row r="37" spans="2:5">
      <c r="B37" s="93" t="s">
        <v>245</v>
      </c>
      <c r="C37" s="101" t="s">
        <v>246</v>
      </c>
      <c r="D37" s="9">
        <v>0</v>
      </c>
      <c r="E37" s="9">
        <v>0</v>
      </c>
    </row>
  </sheetData>
  <sheetProtection password="E9D4" sheet="1"/>
  <customSheetViews>
    <customSheetView guid="{871F8275-217B-436F-8813-871F820F0EE4}" scale="85" showPageBreaks="1" showGridLines="0" view="pageBreakPreview" topLeftCell="A4">
      <selection activeCell="E15" sqref="E15"/>
      <pageMargins left="0.39370078740157483" right="0.39370078740157483" top="0.39370078740157483" bottom="0.39370078740157483" header="0.19685039370078741" footer="0.19685039370078741"/>
      <pageSetup paperSize="9" scale="80" orientation="portrait" r:id="rId1"/>
      <headerFooter alignWithMargins="0">
        <oddFooter>&amp;L&amp;7&amp;D&amp;C&amp;7&amp;P&amp;R&amp;7&amp;F</oddFooter>
      </headerFooter>
    </customSheetView>
    <customSheetView guid="{2EBF18CB-80C9-43ED-A978-2AAEAC40933E}" scale="75" showGridLines="0" showRuler="0" topLeftCell="A10">
      <selection activeCell="C31" sqref="C31"/>
      <pageMargins left="0.39370078740157483" right="0.39370078740157483" top="0.39370078740157483" bottom="0.39370078740157483" header="0.19685039370078741" footer="0.19685039370078741"/>
      <pageSetup paperSize="9" scale="80" orientation="portrait" horizontalDpi="300" verticalDpi="300" r:id="rId2"/>
      <headerFooter alignWithMargins="0">
        <oddFooter>&amp;L&amp;7&amp;D&amp;C&amp;7&amp;P&amp;R&amp;7&amp;F</oddFooter>
      </headerFooter>
    </customSheetView>
    <customSheetView guid="{47D3AB49-9599-4A16-951B-F48FEC1C0136}" scale="75" showGridLines="0" topLeftCell="A7">
      <selection activeCell="E7" sqref="E7"/>
      <pageMargins left="0.39370078740157483" right="0.39370078740157483" top="0.39370078740157483" bottom="0.39370078740157483" header="0.19685039370078741" footer="0.19685039370078741"/>
      <pageSetup paperSize="9" scale="80" orientation="portrait" horizontalDpi="300" verticalDpi="300" r:id="rId3"/>
      <headerFooter alignWithMargins="0">
        <oddFooter>&amp;L&amp;7&amp;D&amp;C&amp;7&amp;P&amp;R&amp;7&amp;F</oddFooter>
      </headerFooter>
    </customSheetView>
    <customSheetView guid="{ECE607A2-8A26-46E0-8BDC-E9AD788F604C}" scale="85" showPageBreaks="1" showGridLines="0" view="pageBreakPreview" topLeftCell="A4">
      <selection activeCell="E7" sqref="E7"/>
      <pageMargins left="0.39370078740157483" right="0.39370078740157483" top="0.39370078740157483" bottom="0.39370078740157483" header="0.19685039370078741" footer="0.19685039370078741"/>
      <pageSetup paperSize="9" scale="80" orientation="portrait" r:id="rId4"/>
      <headerFooter alignWithMargins="0">
        <oddFooter>&amp;L&amp;7&amp;D&amp;C&amp;7&amp;P&amp;R&amp;7&amp;F</oddFooter>
      </headerFooter>
    </customSheetView>
    <customSheetView guid="{FB1E0752-409C-4E7D-BCFE-7AEBEB8B5F0D}" scale="85" showPageBreaks="1" showGridLines="0" view="pageBreakPreview" topLeftCell="A4">
      <selection activeCell="E29" sqref="E29"/>
      <pageMargins left="0.39370078740157483" right="0.39370078740157483" top="0.39370078740157483" bottom="0.39370078740157483" header="0.19685039370078741" footer="0.19685039370078741"/>
      <pageSetup paperSize="9" scale="80" orientation="portrait" r:id="rId5"/>
      <headerFooter alignWithMargins="0">
        <oddFooter>&amp;L&amp;7&amp;D&amp;C&amp;7&amp;P&amp;R&amp;7&amp;F</oddFooter>
      </headerFooter>
    </customSheetView>
  </customSheetViews>
  <mergeCells count="2">
    <mergeCell ref="D5:E5"/>
    <mergeCell ref="D1:E1"/>
  </mergeCells>
  <phoneticPr fontId="0" type="noConversion"/>
  <pageMargins left="0.39370078740157483" right="0.39370078740157483" top="0.39370078740157483" bottom="0.39370078740157483" header="0.19685039370078741" footer="0.19685039370078741"/>
  <pageSetup paperSize="9" scale="79" orientation="portrait" r:id="rId6"/>
  <headerFooter alignWithMargins="0">
    <oddFooter>&amp;L&amp;7&amp;D&amp;C&amp;7&amp;P&amp;R&amp;7&amp;F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53</vt:i4>
      </vt:variant>
      <vt:variant>
        <vt:lpstr>Именованные диапазоны</vt:lpstr>
      </vt:variant>
      <vt:variant>
        <vt:i4>17</vt:i4>
      </vt:variant>
    </vt:vector>
  </HeadingPairs>
  <TitlesOfParts>
    <vt:vector size="70" baseType="lpstr">
      <vt:lpstr>Validations Original</vt:lpstr>
      <vt:lpstr>T</vt:lpstr>
      <vt:lpstr>C</vt:lpstr>
      <vt:lpstr>OB</vt:lpstr>
      <vt:lpstr>BINFO</vt:lpstr>
      <vt:lpstr>BA01.01</vt:lpstr>
      <vt:lpstr>BL01.02</vt:lpstr>
      <vt:lpstr>BC01.03</vt:lpstr>
      <vt:lpstr>BO01.04</vt:lpstr>
      <vt:lpstr>BB01.05</vt:lpstr>
      <vt:lpstr>PL02.01</vt:lpstr>
      <vt:lpstr>CC03.01</vt:lpstr>
      <vt:lpstr>SI04.01</vt:lpstr>
      <vt:lpstr>OA05.01</vt:lpstr>
      <vt:lpstr>OA05.02</vt:lpstr>
      <vt:lpstr>CA06.01</vt:lpstr>
      <vt:lpstr>CA06.02</vt:lpstr>
      <vt:lpstr>CR07.01</vt:lpstr>
      <vt:lpstr>CA07.02</vt:lpstr>
      <vt:lpstr>LB08.01</vt:lpstr>
      <vt:lpstr>AL09.01</vt:lpstr>
      <vt:lpstr>DS11.01</vt:lpstr>
      <vt:lpstr>DD11.02</vt:lpstr>
      <vt:lpstr>GA12.01</vt:lpstr>
      <vt:lpstr>GA12.02</vt:lpstr>
      <vt:lpstr>RM12.03</vt:lpstr>
      <vt:lpstr>RM12.04</vt:lpstr>
      <vt:lpstr>DA13.01</vt:lpstr>
      <vt:lpstr>DA13.03</vt:lpstr>
      <vt:lpstr>DA13.05</vt:lpstr>
      <vt:lpstr>PN14.01</vt:lpstr>
      <vt:lpstr>CA15.01</vt:lpstr>
      <vt:lpstr>CA15.02</vt:lpstr>
      <vt:lpstr>CA15.03</vt:lpstr>
      <vt:lpstr>CA15.04</vt:lpstr>
      <vt:lpstr>CA15.05</vt:lpstr>
      <vt:lpstr>MA16.01</vt:lpstr>
      <vt:lpstr>MI17.01</vt:lpstr>
      <vt:lpstr>DI18.01</vt:lpstr>
      <vt:lpstr>FX19.01</vt:lpstr>
      <vt:lpstr>CL20.01</vt:lpstr>
      <vt:lpstr>CL20.02</vt:lpstr>
      <vt:lpstr>BB21.01</vt:lpstr>
      <vt:lpstr>BB21.02</vt:lpstr>
      <vt:lpstr>AC22.01</vt:lpstr>
      <vt:lpstr>AC22.02</vt:lpstr>
      <vt:lpstr>WO23.01</vt:lpstr>
      <vt:lpstr>KI24.01</vt:lpstr>
      <vt:lpstr>KI24.02</vt:lpstr>
      <vt:lpstr>KI24.03</vt:lpstr>
      <vt:lpstr>PB25.01</vt:lpstr>
      <vt:lpstr>List of Scedules</vt:lpstr>
      <vt:lpstr>Validations</vt:lpstr>
      <vt:lpstr>AC22.01!Область_печати</vt:lpstr>
      <vt:lpstr>AC22.02!Область_печати</vt:lpstr>
      <vt:lpstr>AL09.01!Область_печати</vt:lpstr>
      <vt:lpstr>BB01.05!Область_печати</vt:lpstr>
      <vt:lpstr>BB21.01!Область_печати</vt:lpstr>
      <vt:lpstr>BB21.02!Область_печати</vt:lpstr>
      <vt:lpstr>BINFO!Область_печати</vt:lpstr>
      <vt:lpstr>'C'!Область_печати</vt:lpstr>
      <vt:lpstr>CA15.03!Область_печати</vt:lpstr>
      <vt:lpstr>DS11.01!Область_печати</vt:lpstr>
      <vt:lpstr>FX19.01!Область_печати</vt:lpstr>
      <vt:lpstr>LB08.01!Область_печати</vt:lpstr>
      <vt:lpstr>MI17.01!Область_печати</vt:lpstr>
      <vt:lpstr>OB!Область_печати</vt:lpstr>
      <vt:lpstr>PL02.01!Область_печати</vt:lpstr>
      <vt:lpstr>PN14.01!Область_печати</vt:lpstr>
      <vt:lpstr>T!Область_печати</vt:lpstr>
    </vt:vector>
  </TitlesOfParts>
  <Company>USAID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dc:creator>
  <cp:lastModifiedBy>jabdulloev</cp:lastModifiedBy>
  <cp:lastPrinted>2019-07-04T12:21:52Z</cp:lastPrinted>
  <dcterms:created xsi:type="dcterms:W3CDTF">2003-08-20T05:21:36Z</dcterms:created>
  <dcterms:modified xsi:type="dcterms:W3CDTF">2019-07-11T06:33:57Z</dcterms:modified>
</cp:coreProperties>
</file>