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486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 " sheetId="23" r:id="rId23"/>
    <sheet name="2000" sheetId="24" r:id="rId24"/>
  </sheets>
  <externalReferences>
    <externalReference r:id="rId27"/>
    <externalReference r:id="rId28"/>
    <externalReference r:id="rId29"/>
  </externalReferences>
  <definedNames>
    <definedName name="Bг6" localSheetId="10">'[1]Обменные пункты'!#REF!</definedName>
    <definedName name="Bг6" localSheetId="9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0">'[1]Обменные пункты'!#REF!</definedName>
    <definedName name="Bд7" localSheetId="9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0">'[1]Обменные пункты'!#REF!</definedName>
    <definedName name="Bр6" localSheetId="9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0">'[1]Обменные пункты'!#REF!</definedName>
    <definedName name="Bт10" localSheetId="9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3" hidden="1">'2000'!$B:$M</definedName>
    <definedName name="Z_9E8AFC62_80CD_11D9_8925_00A02410353F_.wvu.Cols" localSheetId="22" hidden="1">'2001 '!#REF!</definedName>
    <definedName name="Z_9E8AFC62_80CD_11D9_8925_00A02410353F_.wvu.Cols" localSheetId="21" hidden="1">'2002'!#REF!</definedName>
    <definedName name="Z_9E8AFC62_80CD_11D9_8925_00A02410353F_.wvu.Cols" localSheetId="20" hidden="1">'2003'!$B:$M</definedName>
    <definedName name="Z_9E8AFC62_80CD_11D9_8925_00A02410353F_.wvu.Cols" localSheetId="19" hidden="1">'2004'!#REF!</definedName>
    <definedName name="Z_9E8AFC62_80CD_11D9_8925_00A02410353F_.wvu.Cols" localSheetId="18" hidden="1">'2005'!#REF!</definedName>
    <definedName name="Z_9E8AFC62_80CD_11D9_8925_00A02410353F_.wvu.Rows" localSheetId="23" hidden="1">'2000'!#REF!,'2000'!#REF!,'2000'!#REF!</definedName>
    <definedName name="Z_9E8AFC62_80CD_11D9_8925_00A02410353F_.wvu.Rows" localSheetId="22" hidden="1">'2001 '!#REF!,'2001 '!#REF!,'2001 '!#REF!</definedName>
    <definedName name="Z_9E8AFC62_80CD_11D9_8925_00A02410353F_.wvu.Rows" localSheetId="21" hidden="1">'2002'!#REF!,'2002'!#REF!,'2002'!#REF!</definedName>
    <definedName name="Z_9E8AFC62_80CD_11D9_8925_00A02410353F_.wvu.Rows" localSheetId="20" hidden="1">'2003'!#REF!,'2003'!#REF!,'2003'!#REF!</definedName>
    <definedName name="Z_9E8AFC62_80CD_11D9_8925_00A02410353F_.wvu.Rows" localSheetId="19" hidden="1">'2004'!#REF!,'2004'!#REF!,'2004'!#REF!</definedName>
    <definedName name="Z_9E8AFC62_80CD_11D9_8925_00A02410353F_.wvu.Rows" localSheetId="18" hidden="1">'2005'!#REF!,'2005'!#REF!,'2005'!#REF!</definedName>
    <definedName name="Z_A15867E2_87A8_11D7_BECF_006008CA559F_.wvu.Rows" localSheetId="23" hidden="1">'2000'!#REF!,'2000'!#REF!,'2000'!#REF!</definedName>
    <definedName name="Z_A15867E2_87A8_11D7_BECF_006008CA559F_.wvu.Rows" localSheetId="22" hidden="1">'2001 '!#REF!,'2001 '!#REF!,'2001 '!#REF!</definedName>
    <definedName name="Z_A15867E2_87A8_11D7_BECF_006008CA559F_.wvu.Rows" localSheetId="21" hidden="1">'2002'!#REF!,'2002'!#REF!,'2002'!#REF!</definedName>
    <definedName name="Z_A15867E2_87A8_11D7_BECF_006008CA559F_.wvu.Rows" localSheetId="20" hidden="1">'2003'!#REF!,'2003'!#REF!,'2003'!#REF!</definedName>
    <definedName name="Z_A15867E2_87A8_11D7_BECF_006008CA559F_.wvu.Rows" localSheetId="19" hidden="1">'2004'!#REF!,'2004'!#REF!,'2004'!#REF!</definedName>
    <definedName name="Z_A15867E2_87A8_11D7_BECF_006008CA559F_.wvu.Rows" localSheetId="18" hidden="1">'2005'!#REF!,'2005'!#REF!,'2005'!#REF!</definedName>
    <definedName name="а1" localSheetId="10">#REF!</definedName>
    <definedName name="а1" localSheetId="9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0">'[1]Содержание'!#REF!</definedName>
    <definedName name="в36" localSheetId="9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2">'2001 '!$A$1:$AK$5</definedName>
    <definedName name="с25">#REF!</definedName>
    <definedName name="с39">#REF!</definedName>
    <definedName name="фч6">#REF!</definedName>
  </definedNames>
  <calcPr fullCalcOnLoad="1" refMode="R1C1"/>
</workbook>
</file>

<file path=xl/sharedStrings.xml><?xml version="1.0" encoding="utf-8"?>
<sst xmlns="http://schemas.openxmlformats.org/spreadsheetml/2006/main" count="685" uniqueCount="61">
  <si>
    <t>янв</t>
  </si>
  <si>
    <t>фев</t>
  </si>
  <si>
    <t>мар</t>
  </si>
  <si>
    <t>май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</si>
  <si>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</si>
  <si>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</si>
  <si>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</si>
  <si>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</si>
  <si>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</si>
  <si>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</si>
  <si>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</si>
  <si>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</si>
  <si>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 xml:space="preserve">янв </t>
  </si>
  <si>
    <t xml:space="preserve">фев </t>
  </si>
  <si>
    <t>(ҳаз.сомонӣ)</t>
  </si>
  <si>
    <t>сол</t>
  </si>
  <si>
    <t>дар таърихи</t>
  </si>
  <si>
    <t>аз ҷумла:</t>
  </si>
  <si>
    <t>Ба Вазорати молия</t>
  </si>
  <si>
    <t>қарзҳои Бонки миллӣ</t>
  </si>
  <si>
    <t>қарзҳои ташкилотҳои қарзӣ</t>
  </si>
  <si>
    <t xml:space="preserve">*- аз ҳисоби сарчашмаҳои маблағгузорӣ, аз ҷумла сармоягузории бахши пахтакорӣ </t>
  </si>
  <si>
    <t>дек*</t>
  </si>
  <si>
    <t>март</t>
  </si>
  <si>
    <t xml:space="preserve">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</si>
  <si>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</si>
  <si>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</si>
  <si>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</si>
  <si>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</si>
  <si>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</si>
  <si>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</si>
  <si>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</si>
  <si>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</si>
  <si>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</si>
  <si>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</si>
  <si>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</si>
  <si>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</si>
  <si>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Cол</t>
  </si>
  <si>
    <t xml:space="preserve">қарзҳои ташкилотҳои қарзӣ </t>
  </si>
  <si>
    <t>Нояб</t>
  </si>
  <si>
    <t xml:space="preserve"> 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</si>
  <si>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                                                                                                                                                                                    (дар анҷоми давра)</t>
  </si>
  <si>
    <t>Бақияи сандуқи қарзии низоми бонкӣ аз рӯи асъор    (дар анҷоми давра)</t>
  </si>
  <si>
    <t xml:space="preserve">             Бақияи сандуқи қарзии низоми бонкӣ аз рӯи асъор  (дар анҷоми давра)</t>
  </si>
  <si>
    <t>Бақияи сандуқи қарзии низоми бонкӣ аз рӯи асъор  (дар анҷоми давра)</t>
  </si>
  <si>
    <t>Бақияи сандуқи қарзии низоми бонкӣ аз рӯи асъор (дар анҷоми давра)</t>
  </si>
  <si>
    <t>Бақияи сандуқи қарзии низоми бонкӣ</t>
  </si>
  <si>
    <t>Бақияи сандуқи қарзӣ бо асъори  хориҷӣ</t>
  </si>
  <si>
    <t>Бақияи сандуқи қарзӣ бо пули  миллӣ</t>
  </si>
  <si>
    <t xml:space="preserve"> Бақияи сандуқи қарзии низоми бонкӣ аз рӯи асъор  (дар анҷоми давра)</t>
  </si>
  <si>
    <t xml:space="preserve">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</si>
  <si>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</si>
  <si>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</si>
  <si>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</si>
  <si>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</si>
  <si>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</si>
  <si>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</si>
  <si>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Октябр</t>
  </si>
  <si>
    <t>Ноябр</t>
  </si>
  <si>
    <t>Декабр</t>
  </si>
  <si>
    <t xml:space="preserve"> Бақияи сандуқи қарзии низоми бонкӣ аз рӯи асъор (дар анҷоми давра)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</si>
</sst>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_(* #,##0_);_(* \(#,##0\);_(* &quot;-&quot;_);_(@_)"/>
    <numFmt numFmtId="189" formatCode="mmm\ yy"/>
    <numFmt numFmtId="190" formatCode="_-* #,##0.0_р_._-;\-* #,##0.0_р_._-;_-* &quot;-&quot;_р_._-;_-@_-"/>
    <numFmt numFmtId="191" formatCode="0.0_)"/>
    <numFmt numFmtId="192" formatCode="#,##0.0"/>
    <numFmt numFmtId="193" formatCode="0.000"/>
    <numFmt numFmtId="194" formatCode="0.0%"/>
    <numFmt numFmtId="195" formatCode="0.0000"/>
    <numFmt numFmtId="196" formatCode="0.0"/>
    <numFmt numFmtId="197" formatCode="#,##0.00_ ;\-#,##0.00\ "/>
    <numFmt numFmtId="198" formatCode="0.00_)"/>
    <numFmt numFmtId="199" formatCode="#,##0.000_ ;\-#,##0.000\ "/>
    <numFmt numFmtId="200" formatCode="_-* #,##0.0_c_._-;\-* #,##0.0_c_._-;_-* &quot;-&quot;?_c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_-* #,##0.0_р_._-;\-* #,##0.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sz val="8"/>
      <name val="Arial Cyr"/>
      <family val="2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47" fillId="32" borderId="0" applyNumberFormat="0" applyBorder="0" applyAlignment="0" applyProtection="0"/>
    <xf numFmtId="4" fontId="7" fillId="0" borderId="0">
      <alignment/>
      <protection locked="0"/>
    </xf>
  </cellStyleXfs>
  <cellXfs count="73">
    <xf numFmtId="0" fontId="0" fillId="0" borderId="0" xfId="0" applyAlignment="1">
      <alignment/>
    </xf>
    <xf numFmtId="0" fontId="9" fillId="33" borderId="11" xfId="69" applyFont="1" applyFill="1" applyBorder="1" applyAlignment="1" applyProtection="1">
      <alignment horizontal="left" vertical="center" wrapText="1" indent="1"/>
      <protection/>
    </xf>
    <xf numFmtId="188" fontId="9" fillId="33" borderId="11" xfId="80" applyFont="1" applyFill="1" applyBorder="1" applyAlignment="1" applyProtection="1">
      <alignment horizontal="left" wrapText="1" indent="1"/>
      <protection/>
    </xf>
    <xf numFmtId="0" fontId="9" fillId="33" borderId="11" xfId="69" applyFont="1" applyFill="1" applyBorder="1" applyAlignment="1" applyProtection="1">
      <alignment horizontal="left" vertical="center" wrapText="1" indent="2"/>
      <protection/>
    </xf>
    <xf numFmtId="0" fontId="8" fillId="33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Border="1">
      <alignment/>
      <protection/>
    </xf>
    <xf numFmtId="0" fontId="9" fillId="0" borderId="11" xfId="70" applyFont="1" applyBorder="1">
      <alignment/>
      <protection/>
    </xf>
    <xf numFmtId="3" fontId="9" fillId="0" borderId="11" xfId="70" applyNumberFormat="1" applyFont="1" applyBorder="1">
      <alignment/>
      <protection/>
    </xf>
    <xf numFmtId="3" fontId="9" fillId="0" borderId="11" xfId="70" applyNumberFormat="1" applyFont="1" applyBorder="1" quotePrefix="1">
      <alignment/>
      <protection/>
    </xf>
    <xf numFmtId="3" fontId="8" fillId="33" borderId="11" xfId="70" applyNumberFormat="1" applyFont="1" applyFill="1" applyBorder="1">
      <alignment/>
      <protection/>
    </xf>
    <xf numFmtId="0" fontId="8" fillId="0" borderId="11" xfId="69" applyNumberFormat="1" applyFont="1" applyFill="1" applyBorder="1" applyAlignment="1">
      <alignment horizontal="center" vertical="center" wrapText="1"/>
      <protection/>
    </xf>
    <xf numFmtId="3" fontId="8" fillId="0" borderId="11" xfId="70" applyNumberFormat="1" applyFont="1" applyFill="1" applyBorder="1">
      <alignment/>
      <protection/>
    </xf>
    <xf numFmtId="0" fontId="9" fillId="0" borderId="11" xfId="70" applyFont="1" applyFill="1" applyBorder="1">
      <alignment/>
      <protection/>
    </xf>
    <xf numFmtId="3" fontId="9" fillId="0" borderId="11" xfId="70" applyNumberFormat="1" applyFont="1" applyFill="1" applyBorder="1">
      <alignment/>
      <protection/>
    </xf>
    <xf numFmtId="3" fontId="9" fillId="0" borderId="11" xfId="70" applyNumberFormat="1" applyFont="1" applyFill="1" applyBorder="1" quotePrefix="1">
      <alignment/>
      <protection/>
    </xf>
    <xf numFmtId="0" fontId="8" fillId="33" borderId="11" xfId="69" applyFont="1" applyFill="1" applyBorder="1" applyAlignment="1" applyProtection="1">
      <alignment horizontal="center" wrapText="1"/>
      <protection/>
    </xf>
    <xf numFmtId="188" fontId="8" fillId="0" borderId="11" xfId="80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12" xfId="6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8" fillId="0" borderId="11" xfId="69" applyFont="1" applyFill="1" applyBorder="1" applyAlignment="1" applyProtection="1">
      <alignment horizontal="center" wrapText="1"/>
      <protection/>
    </xf>
    <xf numFmtId="0" fontId="9" fillId="0" borderId="11" xfId="69" applyFont="1" applyFill="1" applyBorder="1" applyAlignment="1" applyProtection="1">
      <alignment horizontal="left" vertical="center" wrapText="1" indent="1"/>
      <protection/>
    </xf>
    <xf numFmtId="0" fontId="9" fillId="0" borderId="11" xfId="69" applyFont="1" applyFill="1" applyBorder="1" applyAlignment="1" applyProtection="1">
      <alignment horizontal="left" vertical="center" wrapText="1" indent="2"/>
      <protection/>
    </xf>
    <xf numFmtId="188" fontId="9" fillId="0" borderId="11" xfId="80" applyFont="1" applyFill="1" applyBorder="1" applyAlignment="1" applyProtection="1">
      <alignment wrapText="1"/>
      <protection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8" fillId="0" borderId="13" xfId="69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Fill="1" applyAlignment="1">
      <alignment/>
    </xf>
    <xf numFmtId="0" fontId="8" fillId="0" borderId="14" xfId="69" applyFont="1" applyFill="1" applyBorder="1" applyAlignment="1" applyProtection="1">
      <alignment horizontal="center" wrapText="1"/>
      <protection/>
    </xf>
    <xf numFmtId="0" fontId="12" fillId="0" borderId="0" xfId="69" applyFont="1" applyFill="1" applyBorder="1" applyAlignment="1" applyProtection="1">
      <alignment vertical="center" wrapText="1"/>
      <protection/>
    </xf>
    <xf numFmtId="0" fontId="13" fillId="0" borderId="0" xfId="69" applyFont="1" applyFill="1" applyBorder="1" applyAlignment="1" applyProtection="1">
      <alignment vertical="center" wrapText="1"/>
      <protection/>
    </xf>
    <xf numFmtId="204" fontId="10" fillId="0" borderId="0" xfId="78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96" fontId="10" fillId="0" borderId="0" xfId="0" applyNumberFormat="1" applyFont="1" applyFill="1" applyAlignment="1">
      <alignment/>
    </xf>
    <xf numFmtId="0" fontId="12" fillId="0" borderId="0" xfId="69" applyFont="1" applyFill="1" applyBorder="1" applyAlignment="1" applyProtection="1">
      <alignment horizontal="center" vertical="center" wrapText="1"/>
      <protection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/>
    </xf>
    <xf numFmtId="0" fontId="8" fillId="0" borderId="11" xfId="69" applyFont="1" applyFill="1" applyBorder="1" applyAlignment="1" applyProtection="1">
      <alignment horizontal="center" vertical="center" wrapText="1"/>
      <protection/>
    </xf>
    <xf numFmtId="0" fontId="13" fillId="0" borderId="17" xfId="69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11" xfId="69" applyFont="1" applyFill="1" applyBorder="1" applyAlignment="1" applyProtection="1">
      <alignment horizontal="center" wrapText="1"/>
      <protection/>
    </xf>
    <xf numFmtId="0" fontId="8" fillId="0" borderId="14" xfId="69" applyFont="1" applyFill="1" applyBorder="1" applyAlignment="1" applyProtection="1">
      <alignment horizontal="center" wrapText="1"/>
      <protection/>
    </xf>
    <xf numFmtId="0" fontId="8" fillId="0" borderId="15" xfId="69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8" fillId="0" borderId="14" xfId="69" applyNumberFormat="1" applyFont="1" applyFill="1" applyBorder="1" applyAlignment="1">
      <alignment horizontal="center" wrapText="1"/>
      <protection/>
    </xf>
    <xf numFmtId="0" fontId="8" fillId="0" borderId="15" xfId="69" applyNumberFormat="1" applyFont="1" applyFill="1" applyBorder="1" applyAlignment="1">
      <alignment horizontal="center" wrapText="1"/>
      <protection/>
    </xf>
    <xf numFmtId="0" fontId="8" fillId="33" borderId="14" xfId="69" applyNumberFormat="1" applyFont="1" applyFill="1" applyBorder="1" applyAlignment="1">
      <alignment horizontal="center" wrapText="1"/>
      <protection/>
    </xf>
    <xf numFmtId="0" fontId="8" fillId="33" borderId="15" xfId="69" applyNumberFormat="1" applyFont="1" applyFill="1" applyBorder="1" applyAlignment="1">
      <alignment horizontal="center" wrapText="1"/>
      <protection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33" borderId="17" xfId="69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8" fillId="33" borderId="14" xfId="69" applyNumberFormat="1" applyFont="1" applyFill="1" applyBorder="1" applyAlignment="1">
      <alignment horizontal="center"/>
      <protection/>
    </xf>
    <xf numFmtId="0" fontId="8" fillId="33" borderId="15" xfId="69" applyNumberFormat="1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33" borderId="17" xfId="69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8" fillId="33" borderId="16" xfId="69" applyNumberFormat="1" applyFont="1" applyFill="1" applyBorder="1" applyAlignment="1">
      <alignment horizontal="center"/>
      <protection/>
    </xf>
  </cellXfs>
  <cellStyles count="69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МАКЕ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_ДАННЫЕ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8" sqref="H8"/>
    </sheetView>
  </sheetViews>
  <sheetFormatPr defaultColWidth="9.125" defaultRowHeight="12.75"/>
  <cols>
    <col min="1" max="1" width="40.50390625" style="22" customWidth="1"/>
    <col min="2" max="2" width="9.125" style="22" customWidth="1"/>
    <col min="3" max="3" width="9.25390625" style="22" customWidth="1"/>
    <col min="4" max="4" width="9.875" style="22" customWidth="1"/>
    <col min="5" max="5" width="9.75390625" style="22" customWidth="1"/>
    <col min="6" max="6" width="9.50390625" style="22" customWidth="1"/>
    <col min="7" max="8" width="9.25390625" style="22" customWidth="1"/>
    <col min="9" max="9" width="9.125" style="22" customWidth="1"/>
    <col min="10" max="10" width="9.50390625" style="22" customWidth="1"/>
    <col min="11" max="12" width="9.87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125" style="22" customWidth="1"/>
  </cols>
  <sheetData>
    <row r="1" spans="2:4" ht="13.5" customHeight="1">
      <c r="B1" s="34"/>
      <c r="C1" s="34"/>
      <c r="D1" s="34"/>
    </row>
    <row r="2" spans="1:13" ht="61.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7:13" ht="18" customHeight="1">
      <c r="G3" s="35"/>
      <c r="H3" s="35"/>
      <c r="L3" s="44" t="s">
        <v>50</v>
      </c>
      <c r="M3" s="44"/>
    </row>
    <row r="4" spans="1:13" ht="18" customHeight="1">
      <c r="A4" s="33" t="s">
        <v>37</v>
      </c>
      <c r="B4" s="40">
        <v>2023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4.2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4.25">
      <c r="A6" s="16" t="s">
        <v>46</v>
      </c>
      <c r="B6" s="11">
        <f aca="true" t="shared" si="0" ref="B6:M6">B10+B14</f>
        <v>13902647.65429279</v>
      </c>
      <c r="C6" s="11">
        <f t="shared" si="0"/>
        <v>14521181.607761929</v>
      </c>
      <c r="D6" s="11">
        <f t="shared" si="0"/>
        <v>14834363.499609709</v>
      </c>
      <c r="E6" s="11">
        <f t="shared" si="0"/>
        <v>15446371.48866521</v>
      </c>
      <c r="F6" s="11">
        <f>F10+F14</f>
        <v>15904462.720073383</v>
      </c>
      <c r="G6" s="11">
        <f t="shared" si="0"/>
        <v>16224991.48681396</v>
      </c>
      <c r="H6" s="11">
        <f t="shared" si="0"/>
        <v>16558608.373312585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</row>
    <row r="7" spans="1:15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4.25">
      <c r="A8" s="25" t="s">
        <v>19</v>
      </c>
      <c r="B8" s="13">
        <f aca="true" t="shared" si="1" ref="B8:D9">B12+B16</f>
        <v>79335.75016000001</v>
      </c>
      <c r="C8" s="13">
        <f t="shared" si="1"/>
        <v>79269.62577000001</v>
      </c>
      <c r="D8" s="13">
        <f t="shared" si="1"/>
        <v>79193.11372000001</v>
      </c>
      <c r="E8" s="13">
        <f aca="true" t="shared" si="2" ref="E8:G9">E12+E16</f>
        <v>79132.71931</v>
      </c>
      <c r="F8" s="13">
        <f t="shared" si="2"/>
        <v>79056.81024</v>
      </c>
      <c r="G8" s="13">
        <f t="shared" si="2"/>
        <v>78968.55592</v>
      </c>
      <c r="H8" s="13">
        <f>H12+H16</f>
        <v>78885.19643000001</v>
      </c>
      <c r="I8" s="13">
        <f>I12+I16</f>
        <v>0</v>
      </c>
      <c r="J8" s="13">
        <f>J12+J16</f>
        <v>0</v>
      </c>
      <c r="K8" s="13">
        <f>K12+K16</f>
        <v>0</v>
      </c>
      <c r="L8" s="13">
        <f>L12+L16</f>
        <v>0</v>
      </c>
      <c r="M8" s="13">
        <f>M12+M16</f>
        <v>0</v>
      </c>
    </row>
    <row r="9" spans="1:15" ht="14.25">
      <c r="A9" s="25" t="s">
        <v>20</v>
      </c>
      <c r="B9" s="13">
        <f t="shared" si="1"/>
        <v>13823311.90413279</v>
      </c>
      <c r="C9" s="13">
        <f t="shared" si="1"/>
        <v>14441911.981991928</v>
      </c>
      <c r="D9" s="13">
        <f t="shared" si="1"/>
        <v>14755170.385889709</v>
      </c>
      <c r="E9" s="13">
        <f t="shared" si="2"/>
        <v>15367238.76935521</v>
      </c>
      <c r="F9" s="13">
        <f t="shared" si="2"/>
        <v>15825405.909833383</v>
      </c>
      <c r="G9" s="13">
        <f t="shared" si="2"/>
        <v>16146022.930893961</v>
      </c>
      <c r="H9" s="13">
        <f>H13+H17</f>
        <v>16479723.176882587</v>
      </c>
      <c r="I9" s="13">
        <f>I13+I17</f>
        <v>0</v>
      </c>
      <c r="J9" s="13">
        <f>J13+J17</f>
        <v>0</v>
      </c>
      <c r="K9" s="13">
        <f>K13+K17</f>
        <v>0</v>
      </c>
      <c r="L9" s="13">
        <f>L13+L17</f>
        <v>0</v>
      </c>
      <c r="M9" s="13">
        <f>M13+M17</f>
        <v>0</v>
      </c>
      <c r="O9" s="36"/>
    </row>
    <row r="10" spans="1:13" ht="14.25">
      <c r="A10" s="16" t="s">
        <v>48</v>
      </c>
      <c r="B10" s="11">
        <f>B12+B13</f>
        <v>10046043.2116035</v>
      </c>
      <c r="C10" s="11">
        <f aca="true" t="shared" si="3" ref="C10:H10">C12+C13</f>
        <v>10330657.9489</v>
      </c>
      <c r="D10" s="11">
        <f t="shared" si="3"/>
        <v>10612155.51366</v>
      </c>
      <c r="E10" s="11">
        <f t="shared" si="3"/>
        <v>10869618.60939</v>
      </c>
      <c r="F10" s="11">
        <f>F12+F13</f>
        <v>10947640.448880002</v>
      </c>
      <c r="G10" s="11">
        <f t="shared" si="3"/>
        <v>11314186.08857</v>
      </c>
      <c r="H10" s="11">
        <f t="shared" si="3"/>
        <v>11526649.843580006</v>
      </c>
      <c r="I10" s="11">
        <f>I12+I13</f>
        <v>0</v>
      </c>
      <c r="J10" s="11">
        <f>J12+J13</f>
        <v>0</v>
      </c>
      <c r="K10" s="11">
        <f>K12+K13</f>
        <v>0</v>
      </c>
      <c r="L10" s="11">
        <f>L12+L13</f>
        <v>0</v>
      </c>
      <c r="M10" s="11">
        <f>M12+M13</f>
        <v>0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79335.75016000001</v>
      </c>
      <c r="C12" s="13">
        <v>79269.62577000001</v>
      </c>
      <c r="D12" s="13">
        <v>79193.11372000001</v>
      </c>
      <c r="E12" s="13">
        <v>79132.71931</v>
      </c>
      <c r="F12" s="13">
        <v>79056.81024</v>
      </c>
      <c r="G12" s="13">
        <v>78968.55592</v>
      </c>
      <c r="H12" s="13">
        <v>78885.19643000001</v>
      </c>
      <c r="I12" s="13"/>
      <c r="J12" s="13"/>
      <c r="K12" s="13"/>
      <c r="L12" s="13"/>
      <c r="M12" s="13"/>
    </row>
    <row r="13" spans="1:14" ht="14.25">
      <c r="A13" s="25" t="s">
        <v>38</v>
      </c>
      <c r="B13" s="13">
        <v>9966707.4614435</v>
      </c>
      <c r="C13" s="13">
        <v>10251388.323129999</v>
      </c>
      <c r="D13" s="13">
        <v>10532962.39994</v>
      </c>
      <c r="E13" s="13">
        <v>10790485.89008</v>
      </c>
      <c r="F13" s="13">
        <v>10868583.638640001</v>
      </c>
      <c r="G13" s="13">
        <v>11235217.532650001</v>
      </c>
      <c r="H13" s="13">
        <v>11447764.647150006</v>
      </c>
      <c r="I13" s="13"/>
      <c r="J13" s="13"/>
      <c r="K13" s="13"/>
      <c r="L13" s="13"/>
      <c r="M13" s="13"/>
      <c r="N13" s="32"/>
    </row>
    <row r="14" spans="1:13" ht="14.25">
      <c r="A14" s="16" t="s">
        <v>47</v>
      </c>
      <c r="B14" s="11">
        <f>B16+B17</f>
        <v>3856604.4426892903</v>
      </c>
      <c r="C14" s="11">
        <f aca="true" t="shared" si="4" ref="C14:H14">C16+C17</f>
        <v>4190523.6588619296</v>
      </c>
      <c r="D14" s="11">
        <f t="shared" si="4"/>
        <v>4222207.985949709</v>
      </c>
      <c r="E14" s="11">
        <f t="shared" si="4"/>
        <v>4576752.87927521</v>
      </c>
      <c r="F14" s="11">
        <f>F16+F17</f>
        <v>4956822.2711933805</v>
      </c>
      <c r="G14" s="11">
        <f t="shared" si="4"/>
        <v>4910805.39824396</v>
      </c>
      <c r="H14" s="11">
        <f t="shared" si="4"/>
        <v>5031958.52973258</v>
      </c>
      <c r="I14" s="11">
        <f>I16+I17</f>
        <v>0</v>
      </c>
      <c r="J14" s="11">
        <f>J16+J17</f>
        <v>0</v>
      </c>
      <c r="K14" s="11">
        <f>K16+K17</f>
        <v>0</v>
      </c>
      <c r="L14" s="11">
        <f>L16+L17</f>
        <v>0</v>
      </c>
      <c r="M14" s="11">
        <f>M16+M17</f>
        <v>0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v>3856604.4426892903</v>
      </c>
      <c r="C17" s="13">
        <v>4190523.6588619296</v>
      </c>
      <c r="D17" s="13">
        <v>4222207.985949709</v>
      </c>
      <c r="E17" s="13">
        <f>4672542.87927521-95790</f>
        <v>4576752.87927521</v>
      </c>
      <c r="F17" s="13">
        <v>4956822.2711933805</v>
      </c>
      <c r="G17" s="13">
        <v>4910805.39824396</v>
      </c>
      <c r="H17" s="13">
        <v>5031958.52973258</v>
      </c>
      <c r="I17" s="13"/>
      <c r="J17" s="13"/>
      <c r="K17" s="13"/>
      <c r="L17" s="13"/>
      <c r="M17" s="13"/>
    </row>
    <row r="19" spans="3:10" ht="14.25">
      <c r="C19" s="32"/>
      <c r="D19" s="32"/>
      <c r="E19" s="32"/>
      <c r="F19" s="32"/>
      <c r="G19" s="32"/>
      <c r="H19" s="32"/>
      <c r="I19" s="32"/>
      <c r="J19" s="32"/>
    </row>
    <row r="20" spans="3:10" ht="14.25">
      <c r="C20" s="32"/>
      <c r="D20" s="32"/>
      <c r="E20" s="32"/>
      <c r="F20" s="32"/>
      <c r="G20" s="32"/>
      <c r="H20" s="32"/>
      <c r="I20" s="32"/>
      <c r="J20" s="32"/>
    </row>
    <row r="21" spans="3:10" ht="14.25">
      <c r="C21" s="32"/>
      <c r="D21" s="32"/>
      <c r="E21" s="32"/>
      <c r="F21" s="32"/>
      <c r="G21" s="32"/>
      <c r="H21" s="32"/>
      <c r="I21" s="32"/>
      <c r="J21" s="32"/>
    </row>
    <row r="22" spans="3:10" ht="14.25">
      <c r="C22" s="32"/>
      <c r="D22" s="32"/>
      <c r="E22" s="32"/>
      <c r="F22" s="32"/>
      <c r="G22" s="32"/>
      <c r="H22" s="32"/>
      <c r="I22" s="32"/>
      <c r="J22" s="32"/>
    </row>
    <row r="23" spans="3:10" ht="14.25">
      <c r="C23" s="32"/>
      <c r="D23" s="32"/>
      <c r="E23" s="32"/>
      <c r="F23" s="32"/>
      <c r="G23" s="32"/>
      <c r="H23" s="32"/>
      <c r="I23" s="32"/>
      <c r="J23" s="32"/>
    </row>
    <row r="24" spans="3:10" ht="14.25">
      <c r="C24" s="32"/>
      <c r="D24" s="32"/>
      <c r="E24" s="32"/>
      <c r="F24" s="32"/>
      <c r="G24" s="32"/>
      <c r="H24" s="32"/>
      <c r="I24" s="32"/>
      <c r="J24" s="32"/>
    </row>
    <row r="25" spans="3:10" ht="14.25">
      <c r="C25" s="32"/>
      <c r="D25" s="32"/>
      <c r="E25" s="32"/>
      <c r="F25" s="32"/>
      <c r="G25" s="32"/>
      <c r="H25" s="32"/>
      <c r="I25" s="32"/>
      <c r="J25" s="32"/>
    </row>
    <row r="26" spans="3:10" ht="14.25">
      <c r="C26" s="32"/>
      <c r="D26" s="32"/>
      <c r="E26" s="32"/>
      <c r="F26" s="32"/>
      <c r="G26" s="32"/>
      <c r="H26" s="32"/>
      <c r="I26" s="32"/>
      <c r="J26" s="32"/>
    </row>
    <row r="27" spans="3:10" ht="14.25"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A11" sqref="A11"/>
    </sheetView>
  </sheetViews>
  <sheetFormatPr defaultColWidth="9.125" defaultRowHeight="12.75"/>
  <cols>
    <col min="1" max="1" width="45.50390625" style="22" customWidth="1"/>
    <col min="2" max="2" width="9.875" style="22" customWidth="1"/>
    <col min="3" max="3" width="10.00390625" style="22" customWidth="1"/>
    <col min="4" max="4" width="9.875" style="22" customWidth="1"/>
    <col min="5" max="5" width="10.125" style="22" customWidth="1"/>
    <col min="6" max="6" width="9.125" style="22" customWidth="1"/>
    <col min="7" max="7" width="9.50390625" style="22" customWidth="1"/>
    <col min="8" max="16384" width="9.125" style="22" customWidth="1"/>
  </cols>
  <sheetData>
    <row r="1" spans="1:13" ht="13.5" customHeight="1">
      <c r="A1" s="39" t="s">
        <v>44</v>
      </c>
      <c r="B1" s="39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4.25" customHeight="1">
      <c r="A2" s="57"/>
      <c r="B2" s="57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0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customHeight="1">
      <c r="A4" s="44" t="s">
        <v>24</v>
      </c>
      <c r="B4" s="4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" customHeight="1">
      <c r="A5" s="23" t="s">
        <v>37</v>
      </c>
      <c r="B5" s="51">
        <v>2014</v>
      </c>
      <c r="C5" s="52"/>
      <c r="D5" s="52"/>
      <c r="E5" s="52"/>
      <c r="F5" s="52"/>
      <c r="G5" s="52"/>
      <c r="H5" s="52"/>
      <c r="I5" s="52"/>
      <c r="J5" s="53"/>
      <c r="K5" s="53"/>
      <c r="L5" s="53"/>
      <c r="M5" s="54"/>
    </row>
    <row r="6" spans="1:13" ht="14.2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4.25">
      <c r="A7" s="16" t="s">
        <v>46</v>
      </c>
      <c r="B7" s="11">
        <f aca="true" t="shared" si="0" ref="B7:M7">B11+B15</f>
        <v>7670793.835999999</v>
      </c>
      <c r="C7" s="11">
        <f t="shared" si="0"/>
        <v>7876516.898</v>
      </c>
      <c r="D7" s="11">
        <f t="shared" si="0"/>
        <v>8037235.327</v>
      </c>
      <c r="E7" s="11">
        <f t="shared" si="0"/>
        <v>8419430.04</v>
      </c>
      <c r="F7" s="11">
        <f t="shared" si="0"/>
        <v>8600475.872</v>
      </c>
      <c r="G7" s="11">
        <f t="shared" si="0"/>
        <v>8705025.681</v>
      </c>
      <c r="H7" s="11">
        <f t="shared" si="0"/>
        <v>8854172</v>
      </c>
      <c r="I7" s="11">
        <f t="shared" si="0"/>
        <v>8944632.848000001</v>
      </c>
      <c r="J7" s="11">
        <f t="shared" si="0"/>
        <v>9160986.354</v>
      </c>
      <c r="K7" s="11">
        <f t="shared" si="0"/>
        <v>9271241.688</v>
      </c>
      <c r="L7" s="11">
        <f t="shared" si="0"/>
        <v>9343775.575000001</v>
      </c>
      <c r="M7" s="11">
        <f t="shared" si="0"/>
        <v>9783195.382000001</v>
      </c>
    </row>
    <row r="8" spans="1:13" ht="14.25">
      <c r="A8" s="24" t="s">
        <v>17</v>
      </c>
      <c r="B8" s="12"/>
      <c r="C8" s="12"/>
      <c r="D8" s="12"/>
      <c r="E8" s="12"/>
      <c r="F8" s="12"/>
      <c r="G8" s="12"/>
      <c r="H8" s="29"/>
      <c r="I8" s="12"/>
      <c r="J8" s="12"/>
      <c r="K8" s="12"/>
      <c r="L8" s="12"/>
      <c r="M8" s="12"/>
    </row>
    <row r="9" spans="1:13" ht="14.25">
      <c r="A9" s="25" t="s">
        <v>19</v>
      </c>
      <c r="B9" s="13">
        <f aca="true" t="shared" si="1" ref="B9:G10">B13+B17</f>
        <v>132934.338</v>
      </c>
      <c r="C9" s="13">
        <f t="shared" si="1"/>
        <v>132142.831</v>
      </c>
      <c r="D9" s="13">
        <f t="shared" si="1"/>
        <v>131274.175</v>
      </c>
      <c r="E9" s="13">
        <f t="shared" si="1"/>
        <v>130845.113</v>
      </c>
      <c r="F9" s="13">
        <f t="shared" si="1"/>
        <v>130438.633</v>
      </c>
      <c r="G9" s="13">
        <f t="shared" si="1"/>
        <v>129797.27</v>
      </c>
      <c r="H9" s="30">
        <v>126978</v>
      </c>
      <c r="I9" s="13">
        <f aca="true" t="shared" si="2" ref="I9:M10">I13+I17</f>
        <v>122900.743</v>
      </c>
      <c r="J9" s="13">
        <f t="shared" si="2"/>
        <v>122559.41</v>
      </c>
      <c r="K9" s="13">
        <f t="shared" si="2"/>
        <v>122363.528</v>
      </c>
      <c r="L9" s="13">
        <f t="shared" si="2"/>
        <v>122346.871</v>
      </c>
      <c r="M9" s="13">
        <f t="shared" si="2"/>
        <v>121909.31</v>
      </c>
    </row>
    <row r="10" spans="1:13" ht="14.25">
      <c r="A10" s="25" t="s">
        <v>20</v>
      </c>
      <c r="B10" s="13">
        <f t="shared" si="1"/>
        <v>7537859.498</v>
      </c>
      <c r="C10" s="13">
        <f t="shared" si="1"/>
        <v>7744374.067</v>
      </c>
      <c r="D10" s="13">
        <f t="shared" si="1"/>
        <v>7905961.151999999</v>
      </c>
      <c r="E10" s="13">
        <f t="shared" si="1"/>
        <v>8288584.927</v>
      </c>
      <c r="F10" s="13">
        <f t="shared" si="1"/>
        <v>8470037.239</v>
      </c>
      <c r="G10" s="13">
        <f t="shared" si="1"/>
        <v>8575228.410999998</v>
      </c>
      <c r="H10" s="30">
        <v>8727194</v>
      </c>
      <c r="I10" s="13">
        <f t="shared" si="2"/>
        <v>8821732.105</v>
      </c>
      <c r="J10" s="13">
        <f t="shared" si="2"/>
        <v>9038426.944</v>
      </c>
      <c r="K10" s="13">
        <f t="shared" si="2"/>
        <v>9148878.16</v>
      </c>
      <c r="L10" s="13">
        <f t="shared" si="2"/>
        <v>9221428.704</v>
      </c>
      <c r="M10" s="13">
        <f t="shared" si="2"/>
        <v>9661286.072</v>
      </c>
    </row>
    <row r="11" spans="1:13" ht="14.25">
      <c r="A11" s="16" t="s">
        <v>48</v>
      </c>
      <c r="B11" s="11">
        <f aca="true" t="shared" si="3" ref="B11:H11">B13+B14</f>
        <v>3106021.247</v>
      </c>
      <c r="C11" s="11">
        <f t="shared" si="3"/>
        <v>3200619.0300000003</v>
      </c>
      <c r="D11" s="11">
        <f t="shared" si="3"/>
        <v>3264154.2569999998</v>
      </c>
      <c r="E11" s="11">
        <f t="shared" si="3"/>
        <v>3566947.7529999996</v>
      </c>
      <c r="F11" s="11">
        <f t="shared" si="3"/>
        <v>3589459.372</v>
      </c>
      <c r="G11" s="11">
        <f t="shared" si="3"/>
        <v>3667060.911</v>
      </c>
      <c r="H11" s="11">
        <f t="shared" si="3"/>
        <v>3687189</v>
      </c>
      <c r="I11" s="11">
        <f>I13+I14</f>
        <v>3673024.904</v>
      </c>
      <c r="J11" s="11">
        <f>J13+J14</f>
        <v>3786847.608</v>
      </c>
      <c r="K11" s="11">
        <f>K13+K14</f>
        <v>3847250.712</v>
      </c>
      <c r="L11" s="11">
        <f>L13+L14</f>
        <v>3817747.446</v>
      </c>
      <c r="M11" s="11">
        <f>M13+M14</f>
        <v>3905773.72</v>
      </c>
    </row>
    <row r="12" spans="1:13" ht="14.25">
      <c r="A12" s="26" t="s">
        <v>17</v>
      </c>
      <c r="B12" s="12"/>
      <c r="C12" s="12"/>
      <c r="D12" s="12"/>
      <c r="E12" s="12"/>
      <c r="F12" s="12"/>
      <c r="G12" s="12"/>
      <c r="H12" s="29"/>
      <c r="I12" s="12"/>
      <c r="J12" s="12"/>
      <c r="K12" s="12"/>
      <c r="L12" s="12"/>
      <c r="M12" s="12"/>
    </row>
    <row r="13" spans="1:13" ht="14.25">
      <c r="A13" s="25" t="s">
        <v>19</v>
      </c>
      <c r="B13" s="13">
        <v>132934.338</v>
      </c>
      <c r="C13" s="13">
        <v>132142.831</v>
      </c>
      <c r="D13" s="13">
        <v>131274.175</v>
      </c>
      <c r="E13" s="13">
        <v>130845.113</v>
      </c>
      <c r="F13" s="13">
        <v>130438.633</v>
      </c>
      <c r="G13" s="13">
        <v>129797.27</v>
      </c>
      <c r="H13" s="30">
        <v>126978</v>
      </c>
      <c r="I13" s="13">
        <v>122900.743</v>
      </c>
      <c r="J13" s="13">
        <v>122559.41</v>
      </c>
      <c r="K13" s="13">
        <v>122363.528</v>
      </c>
      <c r="L13" s="13">
        <v>122346.871</v>
      </c>
      <c r="M13" s="13">
        <v>121909.31</v>
      </c>
    </row>
    <row r="14" spans="1:13" ht="14.25">
      <c r="A14" s="25" t="s">
        <v>38</v>
      </c>
      <c r="B14" s="13">
        <f>2087187.008+885899.901</f>
        <v>2973086.909</v>
      </c>
      <c r="C14" s="13">
        <f>2179463.543+889012.656</f>
        <v>3068476.199</v>
      </c>
      <c r="D14" s="13">
        <f>2238893.679+893986.403</f>
        <v>3132880.082</v>
      </c>
      <c r="E14" s="13">
        <f>2523464.26+912638.38</f>
        <v>3436102.6399999997</v>
      </c>
      <c r="F14" s="13">
        <f>2537667.944+921352.795</f>
        <v>3459020.739</v>
      </c>
      <c r="G14" s="13">
        <f>2616048.551+921215.09</f>
        <v>3537263.641</v>
      </c>
      <c r="H14" s="30">
        <v>3560211</v>
      </c>
      <c r="I14" s="13">
        <f>2657349.856+892774.305</f>
        <v>3550124.1610000003</v>
      </c>
      <c r="J14" s="13">
        <f>2772195.813+892092.385</f>
        <v>3664288.198</v>
      </c>
      <c r="K14" s="13">
        <f>2818677.221+906209.963</f>
        <v>3724887.184</v>
      </c>
      <c r="L14" s="13">
        <f>2761742.109+933658.466</f>
        <v>3695400.575</v>
      </c>
      <c r="M14" s="13">
        <f>2772946.316+1010918.094</f>
        <v>3783864.41</v>
      </c>
    </row>
    <row r="15" spans="1:13" ht="14.25">
      <c r="A15" s="16" t="s">
        <v>47</v>
      </c>
      <c r="B15" s="11">
        <f aca="true" t="shared" si="4" ref="B15:H15">B17+B18</f>
        <v>4564772.589</v>
      </c>
      <c r="C15" s="11">
        <f t="shared" si="4"/>
        <v>4675897.868</v>
      </c>
      <c r="D15" s="11">
        <f t="shared" si="4"/>
        <v>4773081.069999999</v>
      </c>
      <c r="E15" s="11">
        <f t="shared" si="4"/>
        <v>4852482.2870000005</v>
      </c>
      <c r="F15" s="11">
        <f t="shared" si="4"/>
        <v>5011016.5</v>
      </c>
      <c r="G15" s="11">
        <f t="shared" si="4"/>
        <v>5037964.77</v>
      </c>
      <c r="H15" s="11">
        <f t="shared" si="4"/>
        <v>5166983</v>
      </c>
      <c r="I15" s="11">
        <f>I17+I18</f>
        <v>5271607.944</v>
      </c>
      <c r="J15" s="11">
        <f>J17+J18</f>
        <v>5374138.746</v>
      </c>
      <c r="K15" s="11">
        <f>K17+K18</f>
        <v>5423990.976</v>
      </c>
      <c r="L15" s="11">
        <f>L17+L18</f>
        <v>5526028.129000001</v>
      </c>
      <c r="M15" s="11">
        <f>M17+M18</f>
        <v>5877421.6620000005</v>
      </c>
    </row>
    <row r="16" spans="1:13" ht="14.25">
      <c r="A16" s="24" t="s">
        <v>17</v>
      </c>
      <c r="B16" s="13"/>
      <c r="C16" s="13"/>
      <c r="D16" s="13"/>
      <c r="E16" s="13"/>
      <c r="F16" s="13"/>
      <c r="G16" s="13"/>
      <c r="H16" s="29"/>
      <c r="I16" s="13"/>
      <c r="J16" s="13"/>
      <c r="K16" s="13"/>
      <c r="L16" s="13"/>
      <c r="M16" s="13"/>
    </row>
    <row r="17" spans="1:13" ht="14.2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9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4.25">
      <c r="A18" s="25" t="s">
        <v>38</v>
      </c>
      <c r="B18" s="13">
        <f>4099579.911+465192.678</f>
        <v>4564772.589</v>
      </c>
      <c r="C18" s="13">
        <f>4167974.889+507922.979</f>
        <v>4675897.868</v>
      </c>
      <c r="D18" s="13">
        <f>4228760.935+544320.135</f>
        <v>4773081.069999999</v>
      </c>
      <c r="E18" s="13">
        <f>4247206.286+605276.001</f>
        <v>4852482.2870000005</v>
      </c>
      <c r="F18" s="13">
        <f>4366843.973+644172.527</f>
        <v>5011016.5</v>
      </c>
      <c r="G18" s="13">
        <f>4358236.918+679727.852</f>
        <v>5037964.77</v>
      </c>
      <c r="H18" s="30">
        <v>5166983</v>
      </c>
      <c r="I18" s="13">
        <f>4512066.369+759541.575</f>
        <v>5271607.944</v>
      </c>
      <c r="J18" s="13">
        <f>4578064.252+796074.494</f>
        <v>5374138.746</v>
      </c>
      <c r="K18" s="13">
        <f>4615338.413+808652.563</f>
        <v>5423990.976</v>
      </c>
      <c r="L18" s="13">
        <f>4698029.751+827998.378</f>
        <v>5526028.129000001</v>
      </c>
      <c r="M18" s="13">
        <f>4994080.917+883340.745</f>
        <v>5877421.6620000005</v>
      </c>
    </row>
    <row r="21" ht="14.25">
      <c r="B21" s="27"/>
    </row>
  </sheetData>
  <sheetProtection/>
  <mergeCells count="3">
    <mergeCell ref="B5:M5"/>
    <mergeCell ref="A4:M4"/>
    <mergeCell ref="A1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1" sqref="A11"/>
    </sheetView>
  </sheetViews>
  <sheetFormatPr defaultColWidth="9.125" defaultRowHeight="12.75"/>
  <cols>
    <col min="1" max="1" width="41.25390625" style="22" bestFit="1" customWidth="1"/>
    <col min="2" max="2" width="12.125" style="22" customWidth="1"/>
    <col min="3" max="3" width="10.875" style="22" customWidth="1"/>
    <col min="4" max="4" width="10.75390625" style="22" customWidth="1"/>
    <col min="5" max="5" width="11.125" style="22" customWidth="1"/>
    <col min="6" max="6" width="10.875" style="22" customWidth="1"/>
    <col min="7" max="7" width="11.125" style="22" customWidth="1"/>
    <col min="8" max="8" width="11.00390625" style="22" customWidth="1"/>
    <col min="9" max="9" width="10.50390625" style="22" customWidth="1"/>
    <col min="10" max="10" width="9.125" style="22" customWidth="1"/>
    <col min="11" max="11" width="9.75390625" style="22" customWidth="1"/>
    <col min="12" max="12" width="9.50390625" style="22" customWidth="1"/>
    <col min="13" max="16384" width="9.125" style="22" customWidth="1"/>
  </cols>
  <sheetData>
    <row r="1" spans="1:13" ht="13.5" customHeight="1">
      <c r="A1" s="39" t="s">
        <v>44</v>
      </c>
      <c r="B1" s="39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4.25" customHeight="1">
      <c r="A2" s="57"/>
      <c r="B2" s="57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4.25" customHeight="1">
      <c r="A4" s="44" t="s">
        <v>24</v>
      </c>
      <c r="B4" s="4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4.25">
      <c r="A5" s="23" t="s">
        <v>15</v>
      </c>
      <c r="B5" s="58">
        <v>2013</v>
      </c>
      <c r="C5" s="59"/>
      <c r="D5" s="59"/>
      <c r="E5" s="59"/>
      <c r="F5" s="59"/>
      <c r="G5" s="59"/>
      <c r="H5" s="59"/>
      <c r="I5" s="59"/>
      <c r="J5" s="59"/>
      <c r="K5" s="59"/>
      <c r="L5" s="53"/>
      <c r="M5" s="54"/>
    </row>
    <row r="6" spans="1:13" ht="14.25">
      <c r="A6" s="23" t="s">
        <v>16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4.25">
      <c r="A7" s="16" t="s">
        <v>46</v>
      </c>
      <c r="B7" s="11">
        <f aca="true" t="shared" si="0" ref="B7:M7">B11+B15</f>
        <v>5493258.045</v>
      </c>
      <c r="C7" s="11">
        <f t="shared" si="0"/>
        <v>5679069.591</v>
      </c>
      <c r="D7" s="11">
        <f t="shared" si="0"/>
        <v>5748688.808</v>
      </c>
      <c r="E7" s="11">
        <f t="shared" si="0"/>
        <v>6083053.495</v>
      </c>
      <c r="F7" s="11">
        <f t="shared" si="0"/>
        <v>6275179.65</v>
      </c>
      <c r="G7" s="11">
        <f t="shared" si="0"/>
        <v>6497521.621</v>
      </c>
      <c r="H7" s="11">
        <f t="shared" si="0"/>
        <v>6702997.178</v>
      </c>
      <c r="I7" s="11">
        <f t="shared" si="0"/>
        <v>6884588.582</v>
      </c>
      <c r="J7" s="11">
        <f t="shared" si="0"/>
        <v>7050579.337</v>
      </c>
      <c r="K7" s="11">
        <f t="shared" si="0"/>
        <v>7290933.697999999</v>
      </c>
      <c r="L7" s="11">
        <f t="shared" si="0"/>
        <v>7429159.241</v>
      </c>
      <c r="M7" s="11">
        <f t="shared" si="0"/>
        <v>7530991.131999999</v>
      </c>
    </row>
    <row r="8" spans="1:13" ht="14.25">
      <c r="A8" s="2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4.25">
      <c r="A9" s="25" t="s">
        <v>19</v>
      </c>
      <c r="B9" s="13">
        <f aca="true" t="shared" si="1" ref="B9:M9">B13+B17</f>
        <v>122806.82</v>
      </c>
      <c r="C9" s="13">
        <f t="shared" si="1"/>
        <v>119412.19</v>
      </c>
      <c r="D9" s="13">
        <f t="shared" si="1"/>
        <v>119685.858</v>
      </c>
      <c r="E9" s="13">
        <f t="shared" si="1"/>
        <v>125238.168</v>
      </c>
      <c r="F9" s="13">
        <f t="shared" si="1"/>
        <v>129467.197</v>
      </c>
      <c r="G9" s="13">
        <f t="shared" si="1"/>
        <v>129655.657</v>
      </c>
      <c r="H9" s="13">
        <f t="shared" si="1"/>
        <v>131738.612</v>
      </c>
      <c r="I9" s="13">
        <f t="shared" si="1"/>
        <v>132079.755</v>
      </c>
      <c r="J9" s="13">
        <f t="shared" si="1"/>
        <v>132851.995</v>
      </c>
      <c r="K9" s="13">
        <f t="shared" si="1"/>
        <v>133123.281</v>
      </c>
      <c r="L9" s="13">
        <f t="shared" si="1"/>
        <v>133147.406</v>
      </c>
      <c r="M9" s="13">
        <f t="shared" si="1"/>
        <v>132946.405</v>
      </c>
    </row>
    <row r="10" spans="1:13" ht="14.25">
      <c r="A10" s="25" t="s">
        <v>20</v>
      </c>
      <c r="B10" s="13">
        <f aca="true" t="shared" si="2" ref="B10:M10">B14+B18</f>
        <v>5370451.225</v>
      </c>
      <c r="C10" s="13">
        <f t="shared" si="2"/>
        <v>5559657.401000001</v>
      </c>
      <c r="D10" s="13">
        <f t="shared" si="2"/>
        <v>5629002.949999999</v>
      </c>
      <c r="E10" s="13">
        <f t="shared" si="2"/>
        <v>5957815.327</v>
      </c>
      <c r="F10" s="13">
        <f t="shared" si="2"/>
        <v>6145712.453</v>
      </c>
      <c r="G10" s="13">
        <f t="shared" si="2"/>
        <v>6367865.964</v>
      </c>
      <c r="H10" s="13">
        <f t="shared" si="2"/>
        <v>6571258.566</v>
      </c>
      <c r="I10" s="13">
        <f t="shared" si="2"/>
        <v>6752508.827</v>
      </c>
      <c r="J10" s="13">
        <f t="shared" si="2"/>
        <v>6917727.342</v>
      </c>
      <c r="K10" s="13">
        <f t="shared" si="2"/>
        <v>7157810.416999999</v>
      </c>
      <c r="L10" s="13">
        <f t="shared" si="2"/>
        <v>7296011.835</v>
      </c>
      <c r="M10" s="13">
        <f t="shared" si="2"/>
        <v>7398044.727</v>
      </c>
    </row>
    <row r="11" spans="1:13" ht="14.25">
      <c r="A11" s="16" t="s">
        <v>48</v>
      </c>
      <c r="B11" s="11">
        <f aca="true" t="shared" si="3" ref="B11:G11">B13+B14</f>
        <v>2248677.17</v>
      </c>
      <c r="C11" s="11">
        <f t="shared" si="3"/>
        <v>2335918.679</v>
      </c>
      <c r="D11" s="11">
        <f t="shared" si="3"/>
        <v>2367959.445</v>
      </c>
      <c r="E11" s="11">
        <f t="shared" si="3"/>
        <v>2289339.044</v>
      </c>
      <c r="F11" s="11">
        <f t="shared" si="3"/>
        <v>2341964.514</v>
      </c>
      <c r="G11" s="11">
        <f t="shared" si="3"/>
        <v>2478841.6210000003</v>
      </c>
      <c r="H11" s="11">
        <f aca="true" t="shared" si="4" ref="H11:M11">H13+H14</f>
        <v>2565131.163</v>
      </c>
      <c r="I11" s="11">
        <f t="shared" si="4"/>
        <v>2668255.5979999998</v>
      </c>
      <c r="J11" s="11">
        <f t="shared" si="4"/>
        <v>2738883.023</v>
      </c>
      <c r="K11" s="11">
        <f t="shared" si="4"/>
        <v>2925096.4499999997</v>
      </c>
      <c r="L11" s="11">
        <f t="shared" si="4"/>
        <v>3042783.963</v>
      </c>
      <c r="M11" s="11">
        <f t="shared" si="4"/>
        <v>3051979.173</v>
      </c>
    </row>
    <row r="12" spans="1:13" ht="14.25">
      <c r="A12" s="26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4.25">
      <c r="A13" s="25" t="s">
        <v>19</v>
      </c>
      <c r="B13" s="13">
        <v>122806.82</v>
      </c>
      <c r="C13" s="13">
        <v>119412.19</v>
      </c>
      <c r="D13" s="13">
        <v>119685.858</v>
      </c>
      <c r="E13" s="13">
        <v>125238.168</v>
      </c>
      <c r="F13" s="13">
        <v>129467.197</v>
      </c>
      <c r="G13" s="13">
        <v>129655.657</v>
      </c>
      <c r="H13" s="13">
        <v>131738.612</v>
      </c>
      <c r="I13" s="13">
        <v>132079.755</v>
      </c>
      <c r="J13" s="13">
        <v>132851.995</v>
      </c>
      <c r="K13" s="13">
        <v>133123.281</v>
      </c>
      <c r="L13" s="13">
        <v>133147.406</v>
      </c>
      <c r="M13" s="13">
        <v>132946.405</v>
      </c>
    </row>
    <row r="14" spans="1:13" ht="14.25">
      <c r="A14" s="25" t="s">
        <v>38</v>
      </c>
      <c r="B14" s="13">
        <f>1349389.394+776480.956</f>
        <v>2125870.35</v>
      </c>
      <c r="C14" s="13">
        <f>1429615.562+786890.927</f>
        <v>2216506.489</v>
      </c>
      <c r="D14" s="13">
        <f>1464996.792+783276.795</f>
        <v>2248273.587</v>
      </c>
      <c r="E14" s="13">
        <f>1349914.139+814186.737</f>
        <v>2164100.876</v>
      </c>
      <c r="F14" s="13">
        <f>1382405.146+830092.171</f>
        <v>2212497.317</v>
      </c>
      <c r="G14" s="13">
        <f>1450904.924+898281.04</f>
        <v>2349185.964</v>
      </c>
      <c r="H14" s="13">
        <f>1534527.479+898865.072</f>
        <v>2433392.551</v>
      </c>
      <c r="I14" s="13">
        <f>1634806.596+901369.247</f>
        <v>2536175.843</v>
      </c>
      <c r="J14" s="13">
        <f>1716844.091+889186.937</f>
        <v>2606031.028</v>
      </c>
      <c r="K14" s="13">
        <f>1801097.106+990876.063</f>
        <v>2791973.1689999998</v>
      </c>
      <c r="L14" s="13">
        <f>1925091.322+984545.235</f>
        <v>2909636.557</v>
      </c>
      <c r="M14" s="13">
        <f>2020310.874+898721.894</f>
        <v>2919032.768</v>
      </c>
    </row>
    <row r="15" spans="1:13" ht="14.25">
      <c r="A15" s="16" t="s">
        <v>47</v>
      </c>
      <c r="B15" s="11">
        <f aca="true" t="shared" si="5" ref="B15:G15">B17+B18</f>
        <v>3244580.875</v>
      </c>
      <c r="C15" s="11">
        <f t="shared" si="5"/>
        <v>3343150.912</v>
      </c>
      <c r="D15" s="11">
        <f t="shared" si="5"/>
        <v>3380729.363</v>
      </c>
      <c r="E15" s="11">
        <f t="shared" si="5"/>
        <v>3793714.451</v>
      </c>
      <c r="F15" s="11">
        <f t="shared" si="5"/>
        <v>3933215.1360000004</v>
      </c>
      <c r="G15" s="11">
        <f t="shared" si="5"/>
        <v>4018680</v>
      </c>
      <c r="H15" s="11">
        <f aca="true" t="shared" si="6" ref="H15:M15">H17+H18</f>
        <v>4137866.015</v>
      </c>
      <c r="I15" s="11">
        <f t="shared" si="6"/>
        <v>4216332.984</v>
      </c>
      <c r="J15" s="11">
        <f t="shared" si="6"/>
        <v>4311696.314</v>
      </c>
      <c r="K15" s="11">
        <f t="shared" si="6"/>
        <v>4365837.248</v>
      </c>
      <c r="L15" s="11">
        <f t="shared" si="6"/>
        <v>4386375.278</v>
      </c>
      <c r="M15" s="11">
        <f t="shared" si="6"/>
        <v>4479011.959</v>
      </c>
    </row>
    <row r="16" spans="1:13" ht="14.25">
      <c r="A16" s="24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>
      <c r="A17" s="2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4.25">
      <c r="A18" s="25" t="s">
        <v>38</v>
      </c>
      <c r="B18" s="13">
        <f>3061713.518+182867.357</f>
        <v>3244580.875</v>
      </c>
      <c r="C18" s="13">
        <f>3127382.74+215768.172</f>
        <v>3343150.912</v>
      </c>
      <c r="D18" s="13">
        <f>3151594.184+229135.179</f>
        <v>3380729.363</v>
      </c>
      <c r="E18" s="13">
        <f>3543961.182+249753.269</f>
        <v>3793714.451</v>
      </c>
      <c r="F18" s="13">
        <f>3670236.007+262979.129</f>
        <v>3933215.1360000004</v>
      </c>
      <c r="G18" s="13">
        <f>3737055.385+281624.615</f>
        <v>4018680</v>
      </c>
      <c r="H18" s="13">
        <f>3830308.875+307557.14</f>
        <v>4137866.015</v>
      </c>
      <c r="I18" s="13">
        <f>3886405.951+329927.033</f>
        <v>4216332.984</v>
      </c>
      <c r="J18" s="13">
        <f>3944094.994+367601.32</f>
        <v>4311696.314</v>
      </c>
      <c r="K18" s="13">
        <f>3961337.937+404499.311</f>
        <v>4365837.248</v>
      </c>
      <c r="L18" s="13">
        <f>3948125.609+438249.669</f>
        <v>4386375.278</v>
      </c>
      <c r="M18" s="13">
        <f>4002046.752+476965.207</f>
        <v>4479011.959</v>
      </c>
    </row>
    <row r="19" spans="10:11" ht="14.25">
      <c r="J19" s="28"/>
      <c r="K19" s="28"/>
    </row>
    <row r="20" ht="14.25">
      <c r="J20" s="28"/>
    </row>
    <row r="21" spans="2:10" ht="14.25">
      <c r="B21" s="27"/>
      <c r="J21" s="28"/>
    </row>
  </sheetData>
  <sheetProtection/>
  <mergeCells count="3">
    <mergeCell ref="A1:M3"/>
    <mergeCell ref="A4:M4"/>
    <mergeCell ref="B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1">
      <selection activeCell="D20" sqref="D20"/>
    </sheetView>
  </sheetViews>
  <sheetFormatPr defaultColWidth="9.125" defaultRowHeight="12.75"/>
  <cols>
    <col min="1" max="1" width="41.25390625" style="17" bestFit="1" customWidth="1"/>
    <col min="2" max="2" width="12.125" style="17" customWidth="1"/>
    <col min="3" max="3" width="12.25390625" style="17" customWidth="1"/>
    <col min="4" max="4" width="12.50390625" style="17" customWidth="1"/>
    <col min="5" max="5" width="12.125" style="17" customWidth="1"/>
    <col min="6" max="6" width="11.875" style="17" customWidth="1"/>
    <col min="7" max="7" width="10.75390625" style="17" customWidth="1"/>
    <col min="8" max="8" width="9.75390625" style="17" customWidth="1"/>
    <col min="9" max="9" width="10.00390625" style="17" customWidth="1"/>
    <col min="10" max="11" width="9.125" style="17" customWidth="1"/>
    <col min="12" max="12" width="10.125" style="17" customWidth="1"/>
    <col min="13" max="13" width="10.50390625" style="17" customWidth="1"/>
    <col min="14" max="16384" width="9.125" style="17" customWidth="1"/>
  </cols>
  <sheetData>
    <row r="1" spans="1:13" ht="13.5" customHeight="1">
      <c r="A1" s="62" t="s">
        <v>45</v>
      </c>
      <c r="B1" s="62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63"/>
      <c r="B2" s="63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4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4.25" customHeight="1">
      <c r="A4" s="64" t="s">
        <v>24</v>
      </c>
      <c r="B4" s="6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4.25">
      <c r="A5" s="15" t="s">
        <v>15</v>
      </c>
      <c r="B5" s="60">
        <v>2012</v>
      </c>
      <c r="C5" s="61"/>
      <c r="D5" s="61"/>
      <c r="E5" s="61"/>
      <c r="F5" s="61"/>
      <c r="G5" s="61"/>
      <c r="H5" s="61"/>
      <c r="I5" s="61"/>
      <c r="J5" s="61"/>
      <c r="K5" s="61"/>
      <c r="L5" s="48"/>
      <c r="M5" s="49"/>
    </row>
    <row r="6" spans="1:13" ht="14.25">
      <c r="A6" s="15" t="s">
        <v>16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31</v>
      </c>
      <c r="I6" s="4" t="s">
        <v>32</v>
      </c>
      <c r="J6" s="10" t="s">
        <v>33</v>
      </c>
      <c r="K6" s="10" t="s">
        <v>34</v>
      </c>
      <c r="L6" s="10" t="s">
        <v>35</v>
      </c>
      <c r="M6" s="10" t="s">
        <v>36</v>
      </c>
    </row>
    <row r="7" spans="1:13" ht="14.25">
      <c r="A7" s="16" t="s">
        <v>46</v>
      </c>
      <c r="B7" s="5">
        <f aca="true" t="shared" si="0" ref="B7:M7">B11+B15</f>
        <v>4837930.616</v>
      </c>
      <c r="C7" s="5">
        <f t="shared" si="0"/>
        <v>4837618.373</v>
      </c>
      <c r="D7" s="5">
        <f t="shared" si="0"/>
        <v>4817740.96</v>
      </c>
      <c r="E7" s="5">
        <f t="shared" si="0"/>
        <v>4399388.880999999</v>
      </c>
      <c r="F7" s="5">
        <f t="shared" si="0"/>
        <v>4484986.66</v>
      </c>
      <c r="G7" s="5">
        <f t="shared" si="0"/>
        <v>4554800.415</v>
      </c>
      <c r="H7" s="5">
        <f t="shared" si="0"/>
        <v>4724472.776</v>
      </c>
      <c r="I7" s="5">
        <f t="shared" si="0"/>
        <v>4899591.636</v>
      </c>
      <c r="J7" s="5">
        <f t="shared" si="0"/>
        <v>5113390.193</v>
      </c>
      <c r="K7" s="5">
        <f t="shared" si="0"/>
        <v>5133560.851</v>
      </c>
      <c r="L7" s="5">
        <f t="shared" si="0"/>
        <v>5141094.493000001</v>
      </c>
      <c r="M7" s="5">
        <f t="shared" si="0"/>
        <v>5421302.313999999</v>
      </c>
    </row>
    <row r="8" spans="1:13" ht="14.25">
      <c r="A8" s="24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25">
      <c r="A9" s="25" t="s">
        <v>19</v>
      </c>
      <c r="B9" s="7">
        <f aca="true" t="shared" si="1" ref="B9:M9">B13+B17</f>
        <v>200073.52</v>
      </c>
      <c r="C9" s="7">
        <f t="shared" si="1"/>
        <v>150028.066</v>
      </c>
      <c r="D9" s="7">
        <f t="shared" si="1"/>
        <v>100315.297</v>
      </c>
      <c r="E9" s="7">
        <f t="shared" si="1"/>
        <v>99363.321</v>
      </c>
      <c r="F9" s="7">
        <f t="shared" si="1"/>
        <v>99083.443</v>
      </c>
      <c r="G9" s="7">
        <f t="shared" si="1"/>
        <v>98353.226</v>
      </c>
      <c r="H9" s="7">
        <f t="shared" si="1"/>
        <v>98524.808</v>
      </c>
      <c r="I9" s="7">
        <f t="shared" si="1"/>
        <v>103960.286</v>
      </c>
      <c r="J9" s="7">
        <f t="shared" si="1"/>
        <v>108354.966</v>
      </c>
      <c r="K9" s="7">
        <f t="shared" si="1"/>
        <v>111723.988</v>
      </c>
      <c r="L9" s="7">
        <f t="shared" si="1"/>
        <v>115430.941</v>
      </c>
      <c r="M9" s="7">
        <f t="shared" si="1"/>
        <v>121349.785</v>
      </c>
    </row>
    <row r="10" spans="1:13" ht="14.25">
      <c r="A10" s="25" t="s">
        <v>20</v>
      </c>
      <c r="B10" s="7">
        <f aca="true" t="shared" si="2" ref="B10:M10">B14+B18</f>
        <v>4637857.096</v>
      </c>
      <c r="C10" s="7">
        <f t="shared" si="2"/>
        <v>4687590.307</v>
      </c>
      <c r="D10" s="7">
        <f t="shared" si="2"/>
        <v>4717425.663000001</v>
      </c>
      <c r="E10" s="7">
        <f t="shared" si="2"/>
        <v>4300025.56</v>
      </c>
      <c r="F10" s="7">
        <f t="shared" si="2"/>
        <v>4385903.217</v>
      </c>
      <c r="G10" s="7">
        <f t="shared" si="2"/>
        <v>4456447.189</v>
      </c>
      <c r="H10" s="7">
        <f t="shared" si="2"/>
        <v>4625947.968</v>
      </c>
      <c r="I10" s="7">
        <f t="shared" si="2"/>
        <v>4795631.35</v>
      </c>
      <c r="J10" s="7">
        <f t="shared" si="2"/>
        <v>5005035.227</v>
      </c>
      <c r="K10" s="7">
        <f t="shared" si="2"/>
        <v>5021836.863</v>
      </c>
      <c r="L10" s="7">
        <f t="shared" si="2"/>
        <v>5025663.552</v>
      </c>
      <c r="M10" s="7">
        <f t="shared" si="2"/>
        <v>5299952.528999999</v>
      </c>
    </row>
    <row r="11" spans="1:13" ht="14.25">
      <c r="A11" s="16" t="s">
        <v>48</v>
      </c>
      <c r="B11" s="5">
        <f aca="true" t="shared" si="3" ref="B11:G11">B13+B14</f>
        <v>2133263.237</v>
      </c>
      <c r="C11" s="5">
        <f t="shared" si="3"/>
        <v>2096305.8020000001</v>
      </c>
      <c r="D11" s="5">
        <f t="shared" si="3"/>
        <v>2060089.714</v>
      </c>
      <c r="E11" s="5">
        <f t="shared" si="3"/>
        <v>1800200.8939999999</v>
      </c>
      <c r="F11" s="5">
        <f t="shared" si="3"/>
        <v>1798142.608</v>
      </c>
      <c r="G11" s="5">
        <f t="shared" si="3"/>
        <v>1813999.4800000002</v>
      </c>
      <c r="H11" s="5">
        <f aca="true" t="shared" si="4" ref="H11:M11">H13+H14</f>
        <v>1827118.882</v>
      </c>
      <c r="I11" s="5">
        <f t="shared" si="4"/>
        <v>1890869.0829999999</v>
      </c>
      <c r="J11" s="5">
        <f t="shared" si="4"/>
        <v>1930110.9880000001</v>
      </c>
      <c r="K11" s="5">
        <f t="shared" si="4"/>
        <v>2003138.477</v>
      </c>
      <c r="L11" s="5">
        <f t="shared" si="4"/>
        <v>2006032.3860000002</v>
      </c>
      <c r="M11" s="5">
        <f t="shared" si="4"/>
        <v>2192444.822</v>
      </c>
    </row>
    <row r="12" spans="1:13" ht="14.25">
      <c r="A12" s="26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4.25">
      <c r="A13" s="25" t="s">
        <v>19</v>
      </c>
      <c r="B13" s="7">
        <v>200073.52</v>
      </c>
      <c r="C13" s="7">
        <v>150028.066</v>
      </c>
      <c r="D13" s="7">
        <v>100315.297</v>
      </c>
      <c r="E13" s="7">
        <v>99363.321</v>
      </c>
      <c r="F13" s="7">
        <v>99083.443</v>
      </c>
      <c r="G13" s="7">
        <v>98353.226</v>
      </c>
      <c r="H13" s="7">
        <v>98524.808</v>
      </c>
      <c r="I13" s="7">
        <v>103960.286</v>
      </c>
      <c r="J13" s="7">
        <v>108354.966</v>
      </c>
      <c r="K13" s="7">
        <v>111723.988</v>
      </c>
      <c r="L13" s="7">
        <v>115430.941</v>
      </c>
      <c r="M13" s="7">
        <v>121349.785</v>
      </c>
    </row>
    <row r="14" spans="1:13" ht="14.25">
      <c r="A14" s="25" t="s">
        <v>38</v>
      </c>
      <c r="B14" s="7">
        <f>1380817.637+552372.08</f>
        <v>1933189.7170000002</v>
      </c>
      <c r="C14" s="7">
        <f>1368132.201+578145.535</f>
        <v>1946277.736</v>
      </c>
      <c r="D14" s="7">
        <f>1350805.223+608969.194</f>
        <v>1959774.417</v>
      </c>
      <c r="E14" s="7">
        <f>1057401.548+643436.025</f>
        <v>1700837.5729999999</v>
      </c>
      <c r="F14" s="7">
        <f>1037396.834+661662.331</f>
        <v>1699059.165</v>
      </c>
      <c r="G14" s="7">
        <f>1040534.898+675111.356</f>
        <v>1715646.2540000002</v>
      </c>
      <c r="H14" s="7">
        <f>1044808.296+683785.778</f>
        <v>1728594.074</v>
      </c>
      <c r="I14" s="7">
        <f>1090087.802+696820.995</f>
        <v>1786908.7969999998</v>
      </c>
      <c r="J14" s="7">
        <f>1117225.147+704530.875</f>
        <v>1821756.022</v>
      </c>
      <c r="K14" s="7">
        <v>1891414.489</v>
      </c>
      <c r="L14" s="7">
        <f>1165438.614+725162.831</f>
        <v>1890601.445</v>
      </c>
      <c r="M14" s="7">
        <f>1316453.295+754641.742</f>
        <v>2071095.037</v>
      </c>
    </row>
    <row r="15" spans="1:13" ht="14.25">
      <c r="A15" s="16" t="s">
        <v>47</v>
      </c>
      <c r="B15" s="5">
        <f aca="true" t="shared" si="5" ref="B15:G15">B17+B18</f>
        <v>2704667.3789999997</v>
      </c>
      <c r="C15" s="5">
        <f t="shared" si="5"/>
        <v>2741312.571</v>
      </c>
      <c r="D15" s="5">
        <f t="shared" si="5"/>
        <v>2757651.2460000003</v>
      </c>
      <c r="E15" s="5">
        <f t="shared" si="5"/>
        <v>2599187.9869999997</v>
      </c>
      <c r="F15" s="5">
        <f t="shared" si="5"/>
        <v>2686844.0519999997</v>
      </c>
      <c r="G15" s="5">
        <f t="shared" si="5"/>
        <v>2740800.935</v>
      </c>
      <c r="H15" s="5">
        <f aca="true" t="shared" si="6" ref="H15:M15">H17+H18</f>
        <v>2897353.894</v>
      </c>
      <c r="I15" s="5">
        <f t="shared" si="6"/>
        <v>3008722.5530000003</v>
      </c>
      <c r="J15" s="5">
        <f t="shared" si="6"/>
        <v>3183279.205</v>
      </c>
      <c r="K15" s="5">
        <f t="shared" si="6"/>
        <v>3130422.3740000003</v>
      </c>
      <c r="L15" s="5">
        <f t="shared" si="6"/>
        <v>3135062.1070000003</v>
      </c>
      <c r="M15" s="5">
        <f t="shared" si="6"/>
        <v>3228857.4919999996</v>
      </c>
    </row>
    <row r="16" spans="1:13" ht="14.25">
      <c r="A16" s="24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4.25">
      <c r="A17" s="25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4.25">
      <c r="A18" s="25" t="s">
        <v>38</v>
      </c>
      <c r="B18" s="7">
        <f>2601277.902+103389.477</f>
        <v>2704667.3789999997</v>
      </c>
      <c r="C18" s="7">
        <f>2629758.438+111554.133</f>
        <v>2741312.571</v>
      </c>
      <c r="D18" s="7">
        <f>2637377.035+120274.211</f>
        <v>2757651.2460000003</v>
      </c>
      <c r="E18" s="7">
        <f>2469807.664+129380.323</f>
        <v>2599187.9869999997</v>
      </c>
      <c r="F18" s="7">
        <f>2550037.573+136806.479</f>
        <v>2686844.0519999997</v>
      </c>
      <c r="G18" s="7">
        <f>2597123.247+143677.688</f>
        <v>2740800.935</v>
      </c>
      <c r="H18" s="7">
        <f>2743955.795+153398.099</f>
        <v>2897353.894</v>
      </c>
      <c r="I18" s="7">
        <f>2849619.45+159103.103</f>
        <v>3008722.5530000003</v>
      </c>
      <c r="J18" s="7">
        <f>3019677.574+163601.631</f>
        <v>3183279.205</v>
      </c>
      <c r="K18" s="7">
        <v>3130422.3740000003</v>
      </c>
      <c r="L18" s="7">
        <f>2957558.072+177504.035</f>
        <v>3135062.1070000003</v>
      </c>
      <c r="M18" s="7">
        <f>3048449.726+180407.766</f>
        <v>3228857.4919999996</v>
      </c>
    </row>
    <row r="19" ht="14.25">
      <c r="M19" s="20"/>
    </row>
    <row r="21" spans="2:6" ht="14.25">
      <c r="B21" s="19"/>
      <c r="C21" s="19"/>
      <c r="D21" s="19"/>
      <c r="E21" s="19"/>
      <c r="F21" s="19"/>
    </row>
  </sheetData>
  <sheetProtection/>
  <mergeCells count="3">
    <mergeCell ref="B5:M5"/>
    <mergeCell ref="A1:M3"/>
    <mergeCell ref="A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1"/>
    </sheetView>
  </sheetViews>
  <sheetFormatPr defaultColWidth="9.125" defaultRowHeight="12.75"/>
  <cols>
    <col min="1" max="1" width="41.25390625" style="17" bestFit="1" customWidth="1"/>
    <col min="2" max="6" width="10.75390625" style="17" customWidth="1"/>
    <col min="7" max="12" width="9.125" style="17" customWidth="1"/>
    <col min="13" max="13" width="10.50390625" style="17" customWidth="1"/>
    <col min="14" max="16384" width="9.125" style="17" customWidth="1"/>
  </cols>
  <sheetData>
    <row r="1" spans="1:13" ht="16.5">
      <c r="A1" s="62" t="s">
        <v>44</v>
      </c>
      <c r="B1" s="62"/>
      <c r="C1" s="62"/>
      <c r="D1" s="62"/>
      <c r="E1" s="62"/>
      <c r="F1" s="62"/>
      <c r="G1" s="62"/>
      <c r="H1" s="65"/>
      <c r="I1" s="65"/>
      <c r="J1" s="65"/>
      <c r="K1" s="65"/>
      <c r="L1" s="18"/>
      <c r="M1" s="18"/>
    </row>
    <row r="2" spans="1:13" ht="16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4.25">
      <c r="A3" s="70" t="s">
        <v>24</v>
      </c>
      <c r="B3" s="70"/>
      <c r="C3" s="70"/>
      <c r="D3" s="70"/>
      <c r="E3" s="70"/>
      <c r="F3" s="70"/>
      <c r="G3" s="70"/>
      <c r="H3" s="71"/>
      <c r="I3" s="71"/>
      <c r="J3" s="71"/>
      <c r="K3" s="71"/>
      <c r="L3" s="71"/>
      <c r="M3" s="71"/>
    </row>
    <row r="4" spans="1:13" ht="14.25">
      <c r="A4" s="15" t="s">
        <v>15</v>
      </c>
      <c r="B4" s="66">
        <v>2011</v>
      </c>
      <c r="C4" s="67"/>
      <c r="D4" s="67"/>
      <c r="E4" s="67"/>
      <c r="F4" s="67"/>
      <c r="G4" s="67"/>
      <c r="H4" s="67"/>
      <c r="I4" s="67"/>
      <c r="J4" s="67"/>
      <c r="K4" s="68"/>
      <c r="L4" s="68"/>
      <c r="M4" s="69"/>
    </row>
    <row r="5" spans="1:13" ht="14.25">
      <c r="A5" s="15" t="s">
        <v>16</v>
      </c>
      <c r="B5" s="4" t="s">
        <v>0</v>
      </c>
      <c r="C5" s="4" t="s">
        <v>1</v>
      </c>
      <c r="D5" s="4" t="s">
        <v>2</v>
      </c>
      <c r="E5" s="4" t="s">
        <v>4</v>
      </c>
      <c r="F5" s="4" t="s">
        <v>3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14.25">
      <c r="A6" s="16" t="s">
        <v>46</v>
      </c>
      <c r="B6" s="5">
        <f aca="true" t="shared" si="0" ref="B6:M6">B10+B14</f>
        <v>3888024.2419999996</v>
      </c>
      <c r="C6" s="5">
        <f t="shared" si="0"/>
        <v>3969909.5650000004</v>
      </c>
      <c r="D6" s="5">
        <f t="shared" si="0"/>
        <v>4038678.054</v>
      </c>
      <c r="E6" s="5">
        <f t="shared" si="0"/>
        <v>4216249.438</v>
      </c>
      <c r="F6" s="5">
        <f t="shared" si="0"/>
        <v>4344612.638</v>
      </c>
      <c r="G6" s="5">
        <f t="shared" si="0"/>
        <v>4371128</v>
      </c>
      <c r="H6" s="5">
        <f t="shared" si="0"/>
        <v>4435565.692</v>
      </c>
      <c r="I6" s="5">
        <f t="shared" si="0"/>
        <v>4518895.256999999</v>
      </c>
      <c r="J6" s="5">
        <f t="shared" si="0"/>
        <v>4654713.848999999</v>
      </c>
      <c r="K6" s="5">
        <f t="shared" si="0"/>
        <v>4655854.915</v>
      </c>
      <c r="L6" s="5">
        <f t="shared" si="0"/>
        <v>4707243.897</v>
      </c>
      <c r="M6" s="9">
        <f t="shared" si="0"/>
        <v>4799648.6729999995</v>
      </c>
    </row>
    <row r="7" spans="1:13" ht="14.25">
      <c r="A7" s="2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25">
      <c r="A8" s="25" t="s">
        <v>19</v>
      </c>
      <c r="B8" s="7">
        <f aca="true" t="shared" si="1" ref="B8:M8">B12+B16</f>
        <v>204784.786</v>
      </c>
      <c r="C8" s="7">
        <f t="shared" si="1"/>
        <v>204470.053</v>
      </c>
      <c r="D8" s="7">
        <f t="shared" si="1"/>
        <v>203983.674</v>
      </c>
      <c r="E8" s="7">
        <f t="shared" si="1"/>
        <v>203691.844</v>
      </c>
      <c r="F8" s="7">
        <f t="shared" si="1"/>
        <v>203445.707</v>
      </c>
      <c r="G8" s="7">
        <f t="shared" si="1"/>
        <v>203246.51451000004</v>
      </c>
      <c r="H8" s="7">
        <f t="shared" si="1"/>
        <v>200496.44</v>
      </c>
      <c r="I8" s="7">
        <f t="shared" si="1"/>
        <v>200374.372</v>
      </c>
      <c r="J8" s="7">
        <f t="shared" si="1"/>
        <v>201139.864</v>
      </c>
      <c r="K8" s="7">
        <f t="shared" si="1"/>
        <v>200961.594</v>
      </c>
      <c r="L8" s="7">
        <f t="shared" si="1"/>
        <v>200672.309</v>
      </c>
      <c r="M8" s="7">
        <f t="shared" si="1"/>
        <v>200422.969</v>
      </c>
    </row>
    <row r="9" spans="1:13" ht="14.25">
      <c r="A9" s="25" t="s">
        <v>20</v>
      </c>
      <c r="B9" s="7">
        <f aca="true" t="shared" si="2" ref="B9:M9">B13+B17</f>
        <v>3683239.456</v>
      </c>
      <c r="C9" s="7">
        <f t="shared" si="2"/>
        <v>3765439.512</v>
      </c>
      <c r="D9" s="7">
        <f t="shared" si="2"/>
        <v>3834694.38</v>
      </c>
      <c r="E9" s="7">
        <f t="shared" si="2"/>
        <v>4012557.594</v>
      </c>
      <c r="F9" s="7">
        <f t="shared" si="2"/>
        <v>4141166.9310000003</v>
      </c>
      <c r="G9" s="7">
        <f t="shared" si="2"/>
        <v>4167881.48549</v>
      </c>
      <c r="H9" s="7">
        <f t="shared" si="2"/>
        <v>4235069.251999999</v>
      </c>
      <c r="I9" s="7">
        <f t="shared" si="2"/>
        <v>4318520.885</v>
      </c>
      <c r="J9" s="7">
        <f t="shared" si="2"/>
        <v>4453573.984999999</v>
      </c>
      <c r="K9" s="7">
        <f t="shared" si="2"/>
        <v>4454893.321</v>
      </c>
      <c r="L9" s="7">
        <f t="shared" si="2"/>
        <v>4506571.5879999995</v>
      </c>
      <c r="M9" s="7">
        <f t="shared" si="2"/>
        <v>4599225.704</v>
      </c>
    </row>
    <row r="10" spans="1:13" ht="14.25">
      <c r="A10" s="16" t="s">
        <v>48</v>
      </c>
      <c r="B10" s="5">
        <f aca="true" t="shared" si="3" ref="B10:G10">B12+B13</f>
        <v>2016202.865</v>
      </c>
      <c r="C10" s="5">
        <f t="shared" si="3"/>
        <v>2037765.8520000002</v>
      </c>
      <c r="D10" s="5">
        <f t="shared" si="3"/>
        <v>2047223.04</v>
      </c>
      <c r="E10" s="5">
        <f t="shared" si="3"/>
        <v>2125782.076</v>
      </c>
      <c r="F10" s="5">
        <f t="shared" si="3"/>
        <v>2161984.699</v>
      </c>
      <c r="G10" s="5">
        <f t="shared" si="3"/>
        <v>2137969</v>
      </c>
      <c r="H10" s="5">
        <f aca="true" t="shared" si="4" ref="H10:M10">H12+H13</f>
        <v>2132686.762</v>
      </c>
      <c r="I10" s="5">
        <f t="shared" si="4"/>
        <v>2135899.587</v>
      </c>
      <c r="J10" s="5">
        <f t="shared" si="4"/>
        <v>2151651.241</v>
      </c>
      <c r="K10" s="5">
        <f t="shared" si="4"/>
        <v>2123224.4839999997</v>
      </c>
      <c r="L10" s="5">
        <f t="shared" si="4"/>
        <v>2134465.924</v>
      </c>
      <c r="M10" s="5">
        <f t="shared" si="4"/>
        <v>2136539.593</v>
      </c>
    </row>
    <row r="11" spans="1:13" ht="14.25">
      <c r="A11" s="2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4.25">
      <c r="A12" s="25" t="s">
        <v>19</v>
      </c>
      <c r="B12" s="7">
        <v>204784.786</v>
      </c>
      <c r="C12" s="7">
        <v>204470.053</v>
      </c>
      <c r="D12" s="7">
        <v>203983.674</v>
      </c>
      <c r="E12" s="7">
        <v>203691.844</v>
      </c>
      <c r="F12" s="7">
        <v>203445.707</v>
      </c>
      <c r="G12" s="7">
        <v>203246.51451000004</v>
      </c>
      <c r="H12" s="7">
        <v>200496.44</v>
      </c>
      <c r="I12" s="7">
        <v>200374.372</v>
      </c>
      <c r="J12" s="7">
        <v>201139.864</v>
      </c>
      <c r="K12" s="7">
        <v>200961.594</v>
      </c>
      <c r="L12" s="7">
        <v>200672.309</v>
      </c>
      <c r="M12" s="7">
        <v>200422.969</v>
      </c>
    </row>
    <row r="13" spans="1:13" ht="14.25">
      <c r="A13" s="25" t="s">
        <v>38</v>
      </c>
      <c r="B13" s="7">
        <f>1406481.326+404936.753</f>
        <v>1811418.079</v>
      </c>
      <c r="C13" s="7">
        <f>1408350.983+424944.816</f>
        <v>1833295.799</v>
      </c>
      <c r="D13" s="7">
        <f>1395667.981+447571.385</f>
        <v>1843239.366</v>
      </c>
      <c r="E13" s="7">
        <f>1452395.607+469694.625</f>
        <v>1922090.232</v>
      </c>
      <c r="F13" s="7">
        <f>1481134.152+477404.84</f>
        <v>1958538.992</v>
      </c>
      <c r="G13" s="7">
        <v>1934722.4854899999</v>
      </c>
      <c r="H13" s="7">
        <f>1439294.64+492895.682</f>
        <v>1932190.322</v>
      </c>
      <c r="I13" s="7">
        <f>1439146.72+496378.495</f>
        <v>1935525.2149999999</v>
      </c>
      <c r="J13" s="7">
        <f>1448251.471+502259.906</f>
        <v>1950511.3769999999</v>
      </c>
      <c r="K13" s="7">
        <f>1416542.163+505720.727</f>
        <v>1922262.89</v>
      </c>
      <c r="L13" s="7">
        <f>1422552.422+511241.193</f>
        <v>1933793.615</v>
      </c>
      <c r="M13" s="7">
        <f>1400451.947+535664.677</f>
        <v>1936116.6239999998</v>
      </c>
    </row>
    <row r="14" spans="1:13" ht="14.25">
      <c r="A14" s="16" t="s">
        <v>47</v>
      </c>
      <c r="B14" s="5">
        <f aca="true" t="shared" si="5" ref="B14:G14">B16+B17</f>
        <v>1871821.3769999999</v>
      </c>
      <c r="C14" s="5">
        <f t="shared" si="5"/>
        <v>1932143.713</v>
      </c>
      <c r="D14" s="5">
        <f t="shared" si="5"/>
        <v>1991455.014</v>
      </c>
      <c r="E14" s="5">
        <f t="shared" si="5"/>
        <v>2090467.362</v>
      </c>
      <c r="F14" s="5">
        <f t="shared" si="5"/>
        <v>2182627.9390000002</v>
      </c>
      <c r="G14" s="5">
        <f t="shared" si="5"/>
        <v>2233159</v>
      </c>
      <c r="H14" s="5">
        <f aca="true" t="shared" si="6" ref="H14:M14">H16+H17</f>
        <v>2302878.9299999997</v>
      </c>
      <c r="I14" s="5">
        <f t="shared" si="6"/>
        <v>2382995.67</v>
      </c>
      <c r="J14" s="5">
        <f t="shared" si="6"/>
        <v>2503062.608</v>
      </c>
      <c r="K14" s="5">
        <f t="shared" si="6"/>
        <v>2532630.4310000003</v>
      </c>
      <c r="L14" s="5">
        <f t="shared" si="6"/>
        <v>2572777.9729999998</v>
      </c>
      <c r="M14" s="5">
        <f t="shared" si="6"/>
        <v>2663109.0799999996</v>
      </c>
    </row>
    <row r="15" spans="1:13" ht="14.25">
      <c r="A15" s="2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25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4.25">
      <c r="A17" s="25" t="s">
        <v>38</v>
      </c>
      <c r="B17" s="7">
        <f>1832446.275+39375.102</f>
        <v>1871821.3769999999</v>
      </c>
      <c r="C17" s="7">
        <f>1880715.078+51428.635</f>
        <v>1932143.713</v>
      </c>
      <c r="D17" s="7">
        <f>1935710.505+55744.509</f>
        <v>1991455.014</v>
      </c>
      <c r="E17" s="7">
        <f>2029030.869+61436.493</f>
        <v>2090467.362</v>
      </c>
      <c r="F17" s="7">
        <f>2116566.998+66060.941</f>
        <v>2182627.9390000002</v>
      </c>
      <c r="G17" s="7">
        <v>2233159</v>
      </c>
      <c r="H17" s="7">
        <f>2229034.374+73844.556</f>
        <v>2302878.9299999997</v>
      </c>
      <c r="I17" s="7">
        <f>2302670.993+80324.677</f>
        <v>2382995.67</v>
      </c>
      <c r="J17" s="7">
        <f>2419241.373+83821.235</f>
        <v>2503062.608</v>
      </c>
      <c r="K17" s="7">
        <f>2444726.848+87903.583</f>
        <v>2532630.4310000003</v>
      </c>
      <c r="L17" s="7">
        <f>2480157.715+92620.258</f>
        <v>2572777.9729999998</v>
      </c>
      <c r="M17" s="7">
        <f>2566579.456+96529.624</f>
        <v>2663109.0799999996</v>
      </c>
    </row>
  </sheetData>
  <sheetProtection/>
  <mergeCells count="3">
    <mergeCell ref="A1:K1"/>
    <mergeCell ref="B4:M4"/>
    <mergeCell ref="A3:M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31.5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2010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f aca="true" t="shared" si="0" ref="B5:M5">B9+B13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11">
        <f t="shared" si="0"/>
        <v>5567765.59325</v>
      </c>
      <c r="H5" s="11">
        <f t="shared" si="0"/>
        <v>5617576.127</v>
      </c>
      <c r="I5" s="11">
        <f t="shared" si="0"/>
        <v>5676614.384</v>
      </c>
      <c r="J5" s="11">
        <f t="shared" si="0"/>
        <v>5769483.475</v>
      </c>
      <c r="K5" s="11">
        <f t="shared" si="0"/>
        <v>6035491.164</v>
      </c>
      <c r="L5" s="11">
        <f t="shared" si="0"/>
        <v>6111535.02</v>
      </c>
      <c r="M5" s="11">
        <f t="shared" si="0"/>
        <v>3728330.904</v>
      </c>
    </row>
    <row r="6" spans="1:13" ht="14.2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5" t="s">
        <v>19</v>
      </c>
      <c r="B7" s="7">
        <f aca="true" t="shared" si="1" ref="B7:M7">B11+B15</f>
        <v>179947.848</v>
      </c>
      <c r="C7" s="7">
        <f t="shared" si="1"/>
        <v>159367.618</v>
      </c>
      <c r="D7" s="7">
        <f t="shared" si="1"/>
        <v>159485.08966</v>
      </c>
      <c r="E7" s="7">
        <f t="shared" si="1"/>
        <v>208524.736</v>
      </c>
      <c r="F7" s="7">
        <f t="shared" si="1"/>
        <v>206995.101</v>
      </c>
      <c r="G7" s="13">
        <f t="shared" si="1"/>
        <v>206824.46912999998</v>
      </c>
      <c r="H7" s="13">
        <f t="shared" si="1"/>
        <v>206711.979</v>
      </c>
      <c r="I7" s="13">
        <f t="shared" si="1"/>
        <v>206706.177</v>
      </c>
      <c r="J7" s="13">
        <f t="shared" si="1"/>
        <v>206564.239</v>
      </c>
      <c r="K7" s="13">
        <f t="shared" si="1"/>
        <v>205483.754</v>
      </c>
      <c r="L7" s="13">
        <f t="shared" si="1"/>
        <v>205121.902</v>
      </c>
      <c r="M7" s="13">
        <f t="shared" si="1"/>
        <v>204933.572</v>
      </c>
    </row>
    <row r="8" spans="1:13" ht="14.25">
      <c r="A8" s="25" t="s">
        <v>20</v>
      </c>
      <c r="B8" s="7">
        <f aca="true" t="shared" si="2" ref="B8:M8">B12+B16</f>
        <v>5308111.732000001</v>
      </c>
      <c r="C8" s="7">
        <f t="shared" si="2"/>
        <v>5362137.536</v>
      </c>
      <c r="D8" s="7">
        <f t="shared" si="2"/>
        <v>5490216.47206294</v>
      </c>
      <c r="E8" s="7">
        <f t="shared" si="2"/>
        <v>5563398.96</v>
      </c>
      <c r="F8" s="7">
        <f t="shared" si="2"/>
        <v>5243524.365</v>
      </c>
      <c r="G8" s="13">
        <f t="shared" si="2"/>
        <v>5360941.12412</v>
      </c>
      <c r="H8" s="13">
        <f t="shared" si="2"/>
        <v>5410864.148</v>
      </c>
      <c r="I8" s="13">
        <f t="shared" si="2"/>
        <v>5469908.207</v>
      </c>
      <c r="J8" s="13">
        <f t="shared" si="2"/>
        <v>5562919.236</v>
      </c>
      <c r="K8" s="13">
        <f t="shared" si="2"/>
        <v>5830007.41</v>
      </c>
      <c r="L8" s="13">
        <f t="shared" si="2"/>
        <v>5906413.118</v>
      </c>
      <c r="M8" s="13">
        <f t="shared" si="2"/>
        <v>3523397.3320000004</v>
      </c>
    </row>
    <row r="9" spans="1:13" ht="26.25">
      <c r="A9" s="16" t="s">
        <v>48</v>
      </c>
      <c r="B9" s="5">
        <f aca="true" t="shared" si="3" ref="B9:G9">B11+B12</f>
        <v>3871024.8380000005</v>
      </c>
      <c r="C9" s="5">
        <f t="shared" si="3"/>
        <v>3866568.011</v>
      </c>
      <c r="D9" s="5">
        <f t="shared" si="3"/>
        <v>3930247.48446</v>
      </c>
      <c r="E9" s="5">
        <f t="shared" si="3"/>
        <v>4027375.4729999998</v>
      </c>
      <c r="F9" s="5">
        <f t="shared" si="3"/>
        <v>3950358.781</v>
      </c>
      <c r="G9" s="11">
        <f t="shared" si="3"/>
        <v>3983782.78842</v>
      </c>
      <c r="H9" s="11">
        <f aca="true" t="shared" si="4" ref="H9:M9">H11+H12</f>
        <v>3971213.471</v>
      </c>
      <c r="I9" s="11">
        <f t="shared" si="4"/>
        <v>4002227.41</v>
      </c>
      <c r="J9" s="11">
        <f t="shared" si="4"/>
        <v>4052020.715</v>
      </c>
      <c r="K9" s="11">
        <f t="shared" si="4"/>
        <v>4278200.256</v>
      </c>
      <c r="L9" s="11">
        <f t="shared" si="4"/>
        <v>4287801.05</v>
      </c>
      <c r="M9" s="11">
        <f t="shared" si="4"/>
        <v>1905493.016</v>
      </c>
    </row>
    <row r="10" spans="1:13" ht="14.2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4.25">
      <c r="A11" s="25" t="s">
        <v>19</v>
      </c>
      <c r="B11" s="7">
        <v>179947.848</v>
      </c>
      <c r="C11" s="7">
        <v>159367.618</v>
      </c>
      <c r="D11" s="7">
        <v>159485.08966</v>
      </c>
      <c r="E11" s="7">
        <v>208524.736</v>
      </c>
      <c r="F11" s="7">
        <v>206995.101</v>
      </c>
      <c r="G11" s="13">
        <v>206824.46912999998</v>
      </c>
      <c r="H11" s="13">
        <v>206711.979</v>
      </c>
      <c r="I11" s="13">
        <v>206706.177</v>
      </c>
      <c r="J11" s="13">
        <v>206564.239</v>
      </c>
      <c r="K11" s="13">
        <v>205483.754</v>
      </c>
      <c r="L11" s="13">
        <v>205121.902</v>
      </c>
      <c r="M11" s="13">
        <v>204933.572</v>
      </c>
    </row>
    <row r="12" spans="1:13" ht="14.25">
      <c r="A12" s="25" t="s">
        <v>38</v>
      </c>
      <c r="B12" s="7">
        <v>3691076.99</v>
      </c>
      <c r="C12" s="7">
        <v>3707200.393</v>
      </c>
      <c r="D12" s="7">
        <v>3770762.3948</v>
      </c>
      <c r="E12" s="7">
        <v>3818850.7369999997</v>
      </c>
      <c r="F12" s="7">
        <v>3743363.68</v>
      </c>
      <c r="G12" s="13">
        <v>3776958.31929</v>
      </c>
      <c r="H12" s="13">
        <v>3764501.492</v>
      </c>
      <c r="I12" s="13">
        <v>3795521.233</v>
      </c>
      <c r="J12" s="13">
        <v>3845456.476</v>
      </c>
      <c r="K12" s="13">
        <f>3685248.743+387467.759</f>
        <v>4072716.502</v>
      </c>
      <c r="L12" s="13">
        <f>3692199.664+390479.484</f>
        <v>4082679.148</v>
      </c>
      <c r="M12" s="13">
        <f>1300996.294+399563.15</f>
        <v>1700559.4440000001</v>
      </c>
    </row>
    <row r="13" spans="1:13" ht="26.25">
      <c r="A13" s="16" t="s">
        <v>47</v>
      </c>
      <c r="B13" s="5">
        <f aca="true" t="shared" si="5" ref="B13:G13">B15+B16</f>
        <v>1617034.742</v>
      </c>
      <c r="C13" s="5">
        <f t="shared" si="5"/>
        <v>1654937.143</v>
      </c>
      <c r="D13" s="5">
        <f t="shared" si="5"/>
        <v>1719454.07726294</v>
      </c>
      <c r="E13" s="5">
        <f t="shared" si="5"/>
        <v>1744548.223</v>
      </c>
      <c r="F13" s="5">
        <f t="shared" si="5"/>
        <v>1500160.685</v>
      </c>
      <c r="G13" s="11">
        <f t="shared" si="5"/>
        <v>1583982.80483</v>
      </c>
      <c r="H13" s="11">
        <f aca="true" t="shared" si="6" ref="H13:M13">H15+H16</f>
        <v>1646362.656</v>
      </c>
      <c r="I13" s="11">
        <f t="shared" si="6"/>
        <v>1674386.974</v>
      </c>
      <c r="J13" s="11">
        <f t="shared" si="6"/>
        <v>1717462.76</v>
      </c>
      <c r="K13" s="11">
        <f t="shared" si="6"/>
        <v>1757290.908</v>
      </c>
      <c r="L13" s="11">
        <f t="shared" si="6"/>
        <v>1823733.97</v>
      </c>
      <c r="M13" s="11">
        <f t="shared" si="6"/>
        <v>1822837.888</v>
      </c>
    </row>
    <row r="14" spans="1:13" ht="14.2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4.2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4.25">
      <c r="A16" s="25" t="s">
        <v>38</v>
      </c>
      <c r="B16" s="7">
        <v>1617034.742</v>
      </c>
      <c r="C16" s="7">
        <v>1654937.143</v>
      </c>
      <c r="D16" s="7">
        <v>1719454.07726294</v>
      </c>
      <c r="E16" s="7">
        <v>1744548.223</v>
      </c>
      <c r="F16" s="7">
        <v>1500160.685</v>
      </c>
      <c r="G16" s="13">
        <v>1583982.80483</v>
      </c>
      <c r="H16" s="13">
        <v>1646362.656</v>
      </c>
      <c r="I16" s="13">
        <v>1674386.974</v>
      </c>
      <c r="J16" s="13">
        <v>1717462.76</v>
      </c>
      <c r="K16" s="13">
        <f>1727608.566+29682.342</f>
        <v>1757290.908</v>
      </c>
      <c r="L16" s="13">
        <f>1791566.869+32167.101</f>
        <v>1823733.97</v>
      </c>
      <c r="M16" s="13">
        <f>1785992.183+36845.705</f>
        <v>1822837.888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f>B9+B13</f>
        <v>4960790.084999999</v>
      </c>
      <c r="C5" s="5">
        <f>C9+C13</f>
        <v>4985563.71</v>
      </c>
      <c r="D5" s="5">
        <v>5019713</v>
      </c>
      <c r="E5" s="5">
        <f aca="true" t="shared" si="0" ref="E5:M5">E9+E13</f>
        <v>5100932.21</v>
      </c>
      <c r="F5" s="5">
        <f t="shared" si="0"/>
        <v>5371714.592</v>
      </c>
      <c r="G5" s="11">
        <f t="shared" si="0"/>
        <v>5437729.364</v>
      </c>
      <c r="H5" s="11">
        <f t="shared" si="0"/>
        <v>5476728.067</v>
      </c>
      <c r="I5" s="11">
        <f t="shared" si="0"/>
        <v>5540331.947000001</v>
      </c>
      <c r="J5" s="11">
        <f t="shared" si="0"/>
        <v>5653543.218</v>
      </c>
      <c r="K5" s="11">
        <f t="shared" si="0"/>
        <v>5638035.0940000005</v>
      </c>
      <c r="L5" s="11">
        <f t="shared" si="0"/>
        <v>5615310.714</v>
      </c>
      <c r="M5" s="11">
        <f t="shared" si="0"/>
        <v>5453385.42</v>
      </c>
    </row>
    <row r="6" spans="1:13" ht="14.2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5" t="s">
        <v>19</v>
      </c>
      <c r="B7" s="7">
        <f>B11+B15</f>
        <v>185505.963</v>
      </c>
      <c r="C7" s="7">
        <f>C11+C15</f>
        <v>185285.879</v>
      </c>
      <c r="D7" s="7">
        <v>185084</v>
      </c>
      <c r="E7" s="7">
        <f aca="true" t="shared" si="1" ref="E7:M7">E11+E15</f>
        <v>184932.519</v>
      </c>
      <c r="F7" s="7">
        <f t="shared" si="1"/>
        <v>184170.342</v>
      </c>
      <c r="G7" s="13">
        <f t="shared" si="1"/>
        <v>184008.118</v>
      </c>
      <c r="H7" s="13">
        <f t="shared" si="1"/>
        <v>232624.968</v>
      </c>
      <c r="I7" s="13">
        <f t="shared" si="1"/>
        <v>232474.001</v>
      </c>
      <c r="J7" s="13">
        <f t="shared" si="1"/>
        <v>232092.17</v>
      </c>
      <c r="K7" s="13">
        <f t="shared" si="1"/>
        <v>231486.463</v>
      </c>
      <c r="L7" s="13">
        <f t="shared" si="1"/>
        <v>231062.026</v>
      </c>
      <c r="M7" s="13">
        <f t="shared" si="1"/>
        <v>181265.932</v>
      </c>
    </row>
    <row r="8" spans="1:13" ht="14.25">
      <c r="A8" s="25" t="s">
        <v>20</v>
      </c>
      <c r="B8" s="7">
        <f>B12+B16</f>
        <v>4775284.1219999995</v>
      </c>
      <c r="C8" s="7">
        <f>C12+C16</f>
        <v>4800277.831</v>
      </c>
      <c r="D8" s="7">
        <v>4834629</v>
      </c>
      <c r="E8" s="7">
        <f aca="true" t="shared" si="2" ref="E8:M8">E12+E16</f>
        <v>4915999.691</v>
      </c>
      <c r="F8" s="7">
        <f t="shared" si="2"/>
        <v>5187544.25</v>
      </c>
      <c r="G8" s="13">
        <f t="shared" si="2"/>
        <v>5253721.246</v>
      </c>
      <c r="H8" s="13">
        <f t="shared" si="2"/>
        <v>5244103.098999999</v>
      </c>
      <c r="I8" s="13">
        <f t="shared" si="2"/>
        <v>5307857.946</v>
      </c>
      <c r="J8" s="13">
        <f t="shared" si="2"/>
        <v>5421451.048</v>
      </c>
      <c r="K8" s="13">
        <f t="shared" si="2"/>
        <v>5406548.631</v>
      </c>
      <c r="L8" s="13">
        <f t="shared" si="2"/>
        <v>5384248.688</v>
      </c>
      <c r="M8" s="13">
        <f t="shared" si="2"/>
        <v>5272119.488</v>
      </c>
    </row>
    <row r="9" spans="1:13" ht="26.25">
      <c r="A9" s="16" t="s">
        <v>48</v>
      </c>
      <c r="B9" s="5">
        <f>B11+B12</f>
        <v>2237735.6509999996</v>
      </c>
      <c r="C9" s="5">
        <f>C11+C12</f>
        <v>2231714.256</v>
      </c>
      <c r="D9" s="5">
        <v>2228220</v>
      </c>
      <c r="E9" s="5">
        <f aca="true" t="shared" si="3" ref="E9:J9">E11+E12</f>
        <v>2298506.2399999998</v>
      </c>
      <c r="F9" s="5">
        <f t="shared" si="3"/>
        <v>2332188.171</v>
      </c>
      <c r="G9" s="11">
        <f t="shared" si="3"/>
        <v>2341396.846</v>
      </c>
      <c r="H9" s="11">
        <f t="shared" si="3"/>
        <v>2424985.6569999997</v>
      </c>
      <c r="I9" s="11">
        <f t="shared" si="3"/>
        <v>2454857.9510000004</v>
      </c>
      <c r="J9" s="11">
        <f t="shared" si="3"/>
        <v>2482105.421</v>
      </c>
      <c r="K9" s="11">
        <f>K11+K12</f>
        <v>2477210.073</v>
      </c>
      <c r="L9" s="11">
        <f>L11+L12</f>
        <v>3619528.974</v>
      </c>
      <c r="M9" s="11">
        <f>M11+M12</f>
        <v>3840036.938</v>
      </c>
    </row>
    <row r="10" spans="1:13" ht="14.2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4.25">
      <c r="A11" s="25" t="s">
        <v>19</v>
      </c>
      <c r="B11" s="7">
        <v>185505.963</v>
      </c>
      <c r="C11" s="7">
        <v>185285.879</v>
      </c>
      <c r="D11" s="7">
        <v>185084</v>
      </c>
      <c r="E11" s="7">
        <v>184932.519</v>
      </c>
      <c r="F11" s="7">
        <v>184170.342</v>
      </c>
      <c r="G11" s="13">
        <v>184008.118</v>
      </c>
      <c r="H11" s="13">
        <v>232624.968</v>
      </c>
      <c r="I11" s="13">
        <v>232474.001</v>
      </c>
      <c r="J11" s="13">
        <v>232092.17</v>
      </c>
      <c r="K11" s="13">
        <v>231486.463</v>
      </c>
      <c r="L11" s="13">
        <v>231062.026</v>
      </c>
      <c r="M11" s="13">
        <v>181265.932</v>
      </c>
    </row>
    <row r="12" spans="1:13" ht="14.25">
      <c r="A12" s="25" t="s">
        <v>38</v>
      </c>
      <c r="B12" s="7">
        <f>1771620.92+280608.768</f>
        <v>2052229.6879999998</v>
      </c>
      <c r="C12" s="7">
        <f>1754905.104+291523.273</f>
        <v>2046428.377</v>
      </c>
      <c r="D12" s="7">
        <v>2043136</v>
      </c>
      <c r="E12" s="7">
        <f>1799797.492+313776.229</f>
        <v>2113573.721</v>
      </c>
      <c r="F12" s="7">
        <f>1826112.212+321905.617</f>
        <v>2148017.829</v>
      </c>
      <c r="G12" s="13">
        <f>1845893.999+311494.729</f>
        <v>2157388.728</v>
      </c>
      <c r="H12" s="13">
        <f>1885195.13+307165.559</f>
        <v>2192360.689</v>
      </c>
      <c r="I12" s="13">
        <f>1919053.726+303330.224</f>
        <v>2222383.95</v>
      </c>
      <c r="J12" s="13">
        <f>1948952.591+301060.66</f>
        <v>2250013.251</v>
      </c>
      <c r="K12" s="13">
        <f>1946935.223+298788.387</f>
        <v>2245723.61</v>
      </c>
      <c r="L12" s="13">
        <f>3090375.695+298091.253</f>
        <v>3388466.948</v>
      </c>
      <c r="M12" s="13">
        <f>3354813.123+303957.883</f>
        <v>3658771.006</v>
      </c>
    </row>
    <row r="13" spans="1:13" ht="26.25">
      <c r="A13" s="16" t="s">
        <v>47</v>
      </c>
      <c r="B13" s="5">
        <f>B15+B16</f>
        <v>2723054.434</v>
      </c>
      <c r="C13" s="5">
        <f>C15+C16</f>
        <v>2753849.454</v>
      </c>
      <c r="D13" s="5">
        <v>2791493</v>
      </c>
      <c r="E13" s="5">
        <f aca="true" t="shared" si="4" ref="E13:J13">E15+E16</f>
        <v>2802425.97</v>
      </c>
      <c r="F13" s="5">
        <f t="shared" si="4"/>
        <v>3039526.421</v>
      </c>
      <c r="G13" s="11">
        <f t="shared" si="4"/>
        <v>3096332.518</v>
      </c>
      <c r="H13" s="11">
        <f t="shared" si="4"/>
        <v>3051742.41</v>
      </c>
      <c r="I13" s="11">
        <f t="shared" si="4"/>
        <v>3085473.996</v>
      </c>
      <c r="J13" s="11">
        <f t="shared" si="4"/>
        <v>3171437.7970000003</v>
      </c>
      <c r="K13" s="11">
        <f>K15+K16</f>
        <v>3160825.021</v>
      </c>
      <c r="L13" s="11">
        <f>L15+L16</f>
        <v>1995781.74</v>
      </c>
      <c r="M13" s="11">
        <f>M15+M16</f>
        <v>1613348.4819999998</v>
      </c>
    </row>
    <row r="14" spans="1:13" ht="14.2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4.2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4.25">
      <c r="A16" s="25" t="s">
        <v>38</v>
      </c>
      <c r="B16" s="7">
        <f>2720435.377+2619.057</f>
        <v>2723054.434</v>
      </c>
      <c r="C16" s="7">
        <f>2751104.852+2744.602</f>
        <v>2753849.454</v>
      </c>
      <c r="D16" s="7">
        <v>2791493</v>
      </c>
      <c r="E16" s="7">
        <f>2799205.109+3220.861</f>
        <v>2802425.97</v>
      </c>
      <c r="F16" s="7">
        <f>3036020.38+3506.041</f>
        <v>3039526.421</v>
      </c>
      <c r="G16" s="13">
        <f>3093034.018+3298.5</f>
        <v>3096332.518</v>
      </c>
      <c r="H16" s="13">
        <f>3047940.864+3801.546</f>
        <v>3051742.41</v>
      </c>
      <c r="I16" s="13">
        <f>3080514.601+4959.395</f>
        <v>3085473.996</v>
      </c>
      <c r="J16" s="13">
        <f>3164891.986+6545.811</f>
        <v>3171437.7970000003</v>
      </c>
      <c r="K16" s="13">
        <f>8422.074+3152402.947</f>
        <v>3160825.021</v>
      </c>
      <c r="L16" s="13">
        <f>1985414.797+10366.943</f>
        <v>1995781.74</v>
      </c>
      <c r="M16" s="13">
        <f>1600546.623+12801.859</f>
        <v>1613348.4819999998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f aca="true" t="shared" si="0" ref="B5:M5">B9+B13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11">
        <f t="shared" si="0"/>
        <v>4539021.008</v>
      </c>
      <c r="H5" s="11">
        <f t="shared" si="0"/>
        <v>4601975.481999999</v>
      </c>
      <c r="I5" s="11">
        <f t="shared" si="0"/>
        <v>4652280.528</v>
      </c>
      <c r="J5" s="11">
        <f t="shared" si="0"/>
        <v>4713451.487</v>
      </c>
      <c r="K5" s="11">
        <f t="shared" si="0"/>
        <v>4748033.289</v>
      </c>
      <c r="L5" s="11">
        <f t="shared" si="0"/>
        <v>4772168.620999999</v>
      </c>
      <c r="M5" s="11">
        <f t="shared" si="0"/>
        <v>4860055.812000001</v>
      </c>
    </row>
    <row r="6" spans="1:13" ht="14.2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5" t="s">
        <v>19</v>
      </c>
      <c r="B7" s="7">
        <f aca="true" t="shared" si="1" ref="B7:M7">B11+B15</f>
        <v>191334.005</v>
      </c>
      <c r="C7" s="7">
        <f t="shared" si="1"/>
        <v>190931.268</v>
      </c>
      <c r="D7" s="7">
        <f t="shared" si="1"/>
        <v>190336.534</v>
      </c>
      <c r="E7" s="7">
        <f t="shared" si="1"/>
        <v>189201.738</v>
      </c>
      <c r="F7" s="7">
        <f t="shared" si="1"/>
        <v>189052.329</v>
      </c>
      <c r="G7" s="13">
        <f t="shared" si="1"/>
        <v>188597.621</v>
      </c>
      <c r="H7" s="13">
        <f t="shared" si="1"/>
        <v>187215.993</v>
      </c>
      <c r="I7" s="13">
        <f t="shared" si="1"/>
        <v>187003.105</v>
      </c>
      <c r="J7" s="13">
        <f t="shared" si="1"/>
        <v>186772.979</v>
      </c>
      <c r="K7" s="13">
        <f t="shared" si="1"/>
        <v>186561.777</v>
      </c>
      <c r="L7" s="13">
        <f t="shared" si="1"/>
        <v>186384.198</v>
      </c>
      <c r="M7" s="13">
        <f t="shared" si="1"/>
        <v>185766.109</v>
      </c>
    </row>
    <row r="8" spans="1:13" ht="14.25">
      <c r="A8" s="25" t="s">
        <v>20</v>
      </c>
      <c r="B8" s="7">
        <f aca="true" t="shared" si="2" ref="B8:M8">B12+B16</f>
        <v>3832430.1040000003</v>
      </c>
      <c r="C8" s="7">
        <f t="shared" si="2"/>
        <v>3967676.937</v>
      </c>
      <c r="D8" s="7">
        <f t="shared" si="2"/>
        <v>4128220.335</v>
      </c>
      <c r="E8" s="7">
        <f t="shared" si="2"/>
        <v>4225166.085999999</v>
      </c>
      <c r="F8" s="7">
        <f t="shared" si="2"/>
        <v>4281683.676</v>
      </c>
      <c r="G8" s="13">
        <f t="shared" si="2"/>
        <v>4350423.387</v>
      </c>
      <c r="H8" s="13">
        <f t="shared" si="2"/>
        <v>4414759.489</v>
      </c>
      <c r="I8" s="13">
        <f t="shared" si="2"/>
        <v>4465277.423</v>
      </c>
      <c r="J8" s="13">
        <f t="shared" si="2"/>
        <v>4526678.507999999</v>
      </c>
      <c r="K8" s="13">
        <f t="shared" si="2"/>
        <v>4561471.512</v>
      </c>
      <c r="L8" s="13">
        <f t="shared" si="2"/>
        <v>4585784.4229999995</v>
      </c>
      <c r="M8" s="13">
        <f t="shared" si="2"/>
        <v>4674289.703</v>
      </c>
    </row>
    <row r="9" spans="1:13" ht="26.25">
      <c r="A9" s="16" t="s">
        <v>48</v>
      </c>
      <c r="B9" s="5">
        <f aca="true" t="shared" si="3" ref="B9:M9">B11+B12</f>
        <v>1825032.4560000002</v>
      </c>
      <c r="C9" s="5">
        <f t="shared" si="3"/>
        <v>1902476.028</v>
      </c>
      <c r="D9" s="5">
        <f t="shared" si="3"/>
        <v>2010560.7719999999</v>
      </c>
      <c r="E9" s="5">
        <f t="shared" si="3"/>
        <v>2054580.133</v>
      </c>
      <c r="F9" s="5">
        <f t="shared" si="3"/>
        <v>2073870.728</v>
      </c>
      <c r="G9" s="11">
        <f t="shared" si="3"/>
        <v>2109826.551</v>
      </c>
      <c r="H9" s="11">
        <f t="shared" si="3"/>
        <v>2146566.1969999997</v>
      </c>
      <c r="I9" s="11">
        <f t="shared" si="3"/>
        <v>2178625.457</v>
      </c>
      <c r="J9" s="11">
        <f t="shared" si="3"/>
        <v>2239821.222</v>
      </c>
      <c r="K9" s="11">
        <f t="shared" si="3"/>
        <v>2258353.466</v>
      </c>
      <c r="L9" s="11">
        <f t="shared" si="3"/>
        <v>2262996.171</v>
      </c>
      <c r="M9" s="11">
        <f t="shared" si="3"/>
        <v>2274705.197</v>
      </c>
    </row>
    <row r="10" spans="1:13" ht="14.2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4.25">
      <c r="A11" s="25" t="s">
        <v>19</v>
      </c>
      <c r="B11" s="7">
        <v>191334.005</v>
      </c>
      <c r="C11" s="7">
        <v>190931.268</v>
      </c>
      <c r="D11" s="7">
        <v>190336.534</v>
      </c>
      <c r="E11" s="7">
        <v>189201.738</v>
      </c>
      <c r="F11" s="7">
        <v>189052.329</v>
      </c>
      <c r="G11" s="13">
        <v>188597.621</v>
      </c>
      <c r="H11" s="13">
        <v>187215.993</v>
      </c>
      <c r="I11" s="13">
        <v>187003.105</v>
      </c>
      <c r="J11" s="13">
        <v>186772.979</v>
      </c>
      <c r="K11" s="13">
        <v>186561.777</v>
      </c>
      <c r="L11" s="13">
        <v>186384.198</v>
      </c>
      <c r="M11" s="13">
        <v>185766.109</v>
      </c>
    </row>
    <row r="12" spans="1:13" ht="14.25">
      <c r="A12" s="25" t="s">
        <v>38</v>
      </c>
      <c r="B12" s="7">
        <f>1471797.536+161900.915</f>
        <v>1633698.4510000001</v>
      </c>
      <c r="C12" s="7">
        <f>1537488.457+174056.303</f>
        <v>1711544.76</v>
      </c>
      <c r="D12" s="7">
        <f>1634724.774+185499.464</f>
        <v>1820224.238</v>
      </c>
      <c r="E12" s="7">
        <f>1668840.141+196538.254</f>
        <v>1865378.395</v>
      </c>
      <c r="F12" s="7">
        <f>1674264.838+210553.561</f>
        <v>1884818.399</v>
      </c>
      <c r="G12" s="13">
        <f>1702486.138+218742.792</f>
        <v>1921228.93</v>
      </c>
      <c r="H12" s="13">
        <f>1730907.707+228442.497</f>
        <v>1959350.204</v>
      </c>
      <c r="I12" s="13">
        <f>1756103.215+235519.137</f>
        <v>1991622.352</v>
      </c>
      <c r="J12" s="13">
        <f>1809049.55+243998.693</f>
        <v>2053048.243</v>
      </c>
      <c r="K12" s="13">
        <f>1820292.414+251499.275</f>
        <v>2071791.689</v>
      </c>
      <c r="L12" s="13">
        <f>1814430.67+262181.303</f>
        <v>2076611.973</v>
      </c>
      <c r="M12" s="13">
        <f>1817888.164+271050.924</f>
        <v>2088939.088</v>
      </c>
    </row>
    <row r="13" spans="1:13" ht="26.25">
      <c r="A13" s="16" t="s">
        <v>47</v>
      </c>
      <c r="B13" s="5">
        <f aca="true" t="shared" si="4" ref="B13:M13">B15+B16</f>
        <v>2198731.6530000004</v>
      </c>
      <c r="C13" s="5">
        <f t="shared" si="4"/>
        <v>2256132.177</v>
      </c>
      <c r="D13" s="5">
        <f t="shared" si="4"/>
        <v>2307996.097</v>
      </c>
      <c r="E13" s="5">
        <f t="shared" si="4"/>
        <v>2359787.6909999996</v>
      </c>
      <c r="F13" s="5">
        <f t="shared" si="4"/>
        <v>2396865.277</v>
      </c>
      <c r="G13" s="11">
        <f t="shared" si="4"/>
        <v>2429194.4570000004</v>
      </c>
      <c r="H13" s="11">
        <f t="shared" si="4"/>
        <v>2455409.2849999997</v>
      </c>
      <c r="I13" s="11">
        <f t="shared" si="4"/>
        <v>2473655.071</v>
      </c>
      <c r="J13" s="11">
        <f t="shared" si="4"/>
        <v>2473630.2649999997</v>
      </c>
      <c r="K13" s="11">
        <f t="shared" si="4"/>
        <v>2489679.823</v>
      </c>
      <c r="L13" s="11">
        <f t="shared" si="4"/>
        <v>2509172.4499999997</v>
      </c>
      <c r="M13" s="11">
        <f t="shared" si="4"/>
        <v>2585350.615</v>
      </c>
    </row>
    <row r="14" spans="1:13" ht="14.2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4.25">
      <c r="A15" s="2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4.25">
      <c r="A16" s="25" t="s">
        <v>38</v>
      </c>
      <c r="B16" s="7">
        <f>2197473.075+1258.578</f>
        <v>2198731.6530000004</v>
      </c>
      <c r="C16" s="7">
        <f>2254702.27+1429.907</f>
        <v>2256132.177</v>
      </c>
      <c r="D16" s="7">
        <f>2306438+1558.097</f>
        <v>2307996.097</v>
      </c>
      <c r="E16" s="7">
        <f>2358249.965+1537.726</f>
        <v>2359787.6909999996</v>
      </c>
      <c r="F16" s="7">
        <f>2395479.19+1386.087</f>
        <v>2396865.277</v>
      </c>
      <c r="G16" s="13">
        <f>2427880.473+1313.984</f>
        <v>2429194.4570000004</v>
      </c>
      <c r="H16" s="13">
        <f>2453946.752+1462.533</f>
        <v>2455409.2849999997</v>
      </c>
      <c r="I16" s="13">
        <f>2472011.544+1643.527</f>
        <v>2473655.071</v>
      </c>
      <c r="J16" s="13">
        <f>2471841.317+1788.948</f>
        <v>2473630.2649999997</v>
      </c>
      <c r="K16" s="13">
        <f>2487645.906+2033.917</f>
        <v>2489679.823</v>
      </c>
      <c r="L16" s="13">
        <f>2507277.55+1894.9</f>
        <v>2509172.4499999997</v>
      </c>
      <c r="M16" s="13">
        <f>2583037.31+2313.305</f>
        <v>2585350.615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f aca="true" t="shared" si="0" ref="B5:M5">B9+B13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11">
        <f t="shared" si="0"/>
        <v>2797224.3449999997</v>
      </c>
      <c r="H5" s="11">
        <f t="shared" si="0"/>
        <v>2905511.665</v>
      </c>
      <c r="I5" s="11">
        <f t="shared" si="0"/>
        <v>3037840.755</v>
      </c>
      <c r="J5" s="11">
        <f t="shared" si="0"/>
        <v>3164378.168</v>
      </c>
      <c r="K5" s="11">
        <f t="shared" si="0"/>
        <v>3624082.6909999996</v>
      </c>
      <c r="L5" s="11">
        <f t="shared" si="0"/>
        <v>3909527.692</v>
      </c>
      <c r="M5" s="11">
        <f t="shared" si="0"/>
        <v>3977237.133</v>
      </c>
    </row>
    <row r="6" spans="1:13" ht="14.2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5" t="s">
        <v>19</v>
      </c>
      <c r="B7" s="7">
        <f aca="true" t="shared" si="1" ref="B7:M7">B11+B15</f>
        <v>174120.43899999998</v>
      </c>
      <c r="C7" s="7">
        <f t="shared" si="1"/>
        <v>173490.057</v>
      </c>
      <c r="D7" s="7">
        <f t="shared" si="1"/>
        <v>173639.272</v>
      </c>
      <c r="E7" s="7">
        <f t="shared" si="1"/>
        <v>173977.03</v>
      </c>
      <c r="F7" s="7">
        <f t="shared" si="1"/>
        <v>174212.717</v>
      </c>
      <c r="G7" s="13">
        <f t="shared" si="1"/>
        <v>173647.957</v>
      </c>
      <c r="H7" s="13">
        <f t="shared" si="1"/>
        <v>174016.96600000001</v>
      </c>
      <c r="I7" s="13">
        <f t="shared" si="1"/>
        <v>184890.99</v>
      </c>
      <c r="J7" s="13">
        <f t="shared" si="1"/>
        <v>185457.29700000002</v>
      </c>
      <c r="K7" s="13">
        <f t="shared" si="1"/>
        <v>185784.63700000002</v>
      </c>
      <c r="L7" s="13">
        <f t="shared" si="1"/>
        <v>187312.724</v>
      </c>
      <c r="M7" s="13">
        <f t="shared" si="1"/>
        <v>190858.345</v>
      </c>
    </row>
    <row r="8" spans="1:13" ht="14.25">
      <c r="A8" s="25" t="s">
        <v>20</v>
      </c>
      <c r="B8" s="7">
        <f aca="true" t="shared" si="2" ref="B8:M8">B12+B16</f>
        <v>2270685.864</v>
      </c>
      <c r="C8" s="7">
        <f t="shared" si="2"/>
        <v>2345598.142</v>
      </c>
      <c r="D8" s="7">
        <f t="shared" si="2"/>
        <v>2409349.442</v>
      </c>
      <c r="E8" s="7">
        <f t="shared" si="2"/>
        <v>2470071.483</v>
      </c>
      <c r="F8" s="7">
        <f t="shared" si="2"/>
        <v>2554386.826</v>
      </c>
      <c r="G8" s="13">
        <f t="shared" si="2"/>
        <v>2623576.388</v>
      </c>
      <c r="H8" s="13">
        <f t="shared" si="2"/>
        <v>2731494.699</v>
      </c>
      <c r="I8" s="13">
        <f t="shared" si="2"/>
        <v>2852949.765</v>
      </c>
      <c r="J8" s="13">
        <f t="shared" si="2"/>
        <v>2978920.871</v>
      </c>
      <c r="K8" s="13">
        <f t="shared" si="2"/>
        <v>3438298.0539999995</v>
      </c>
      <c r="L8" s="13">
        <f t="shared" si="2"/>
        <v>3722214.968</v>
      </c>
      <c r="M8" s="13">
        <f t="shared" si="2"/>
        <v>3786378.7879999997</v>
      </c>
    </row>
    <row r="9" spans="1:13" ht="26.25">
      <c r="A9" s="16" t="s">
        <v>48</v>
      </c>
      <c r="B9" s="5">
        <f aca="true" t="shared" si="3" ref="B9:M9">B11+B12</f>
        <v>610412.788</v>
      </c>
      <c r="C9" s="5">
        <f t="shared" si="3"/>
        <v>590826.356</v>
      </c>
      <c r="D9" s="5">
        <f t="shared" si="3"/>
        <v>606225.8289999999</v>
      </c>
      <c r="E9" s="5">
        <f t="shared" si="3"/>
        <v>621561.015</v>
      </c>
      <c r="F9" s="5">
        <f t="shared" si="3"/>
        <v>667447.2509999999</v>
      </c>
      <c r="G9" s="11">
        <f t="shared" si="3"/>
        <v>711989.838</v>
      </c>
      <c r="H9" s="11">
        <f t="shared" si="3"/>
        <v>725106.4720000001</v>
      </c>
      <c r="I9" s="11">
        <f t="shared" si="3"/>
        <v>795795.03</v>
      </c>
      <c r="J9" s="11">
        <f t="shared" si="3"/>
        <v>881995.359</v>
      </c>
      <c r="K9" s="11">
        <f t="shared" si="3"/>
        <v>872339.581</v>
      </c>
      <c r="L9" s="11">
        <f t="shared" si="3"/>
        <v>999983.11</v>
      </c>
      <c r="M9" s="11">
        <f t="shared" si="3"/>
        <v>991525.36</v>
      </c>
    </row>
    <row r="10" spans="1:13" ht="14.2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4.25">
      <c r="A11" s="25" t="s">
        <v>19</v>
      </c>
      <c r="B11" s="7">
        <v>139647.061</v>
      </c>
      <c r="C11" s="7">
        <v>139034.861</v>
      </c>
      <c r="D11" s="7">
        <v>139197.506</v>
      </c>
      <c r="E11" s="7">
        <v>139548.446</v>
      </c>
      <c r="F11" s="7">
        <v>139799.23</v>
      </c>
      <c r="G11" s="13">
        <v>139256.533</v>
      </c>
      <c r="H11" s="13">
        <v>139645.543</v>
      </c>
      <c r="I11" s="13">
        <v>150520.601</v>
      </c>
      <c r="J11" s="13">
        <v>151088.978</v>
      </c>
      <c r="K11" s="13">
        <v>151456.469</v>
      </c>
      <c r="L11" s="13">
        <v>153016.297</v>
      </c>
      <c r="M11" s="13">
        <v>156564.154</v>
      </c>
    </row>
    <row r="12" spans="1:13" ht="14.25">
      <c r="A12" s="25" t="s">
        <v>38</v>
      </c>
      <c r="B12" s="7">
        <f>394849+75916.727</f>
        <v>470765.727</v>
      </c>
      <c r="C12" s="7">
        <f>369164.6+82626.895</f>
        <v>451791.495</v>
      </c>
      <c r="D12" s="7">
        <f>378330+88698.323</f>
        <v>467028.323</v>
      </c>
      <c r="E12" s="7">
        <f>387828.001+94184.568</f>
        <v>482012.569</v>
      </c>
      <c r="F12" s="7">
        <f>431552.064+96095.957</f>
        <v>527648.021</v>
      </c>
      <c r="G12" s="13">
        <f>471210.197+101523.108</f>
        <v>572733.3049999999</v>
      </c>
      <c r="H12" s="13">
        <f>478340.902+107120.027</f>
        <v>585460.929</v>
      </c>
      <c r="I12" s="13">
        <f>531256.749+114017.68</f>
        <v>645274.429</v>
      </c>
      <c r="J12" s="13">
        <f>613266.246+117640.135</f>
        <v>730906.381</v>
      </c>
      <c r="K12" s="13">
        <f>590653.557+130229.555</f>
        <v>720883.112</v>
      </c>
      <c r="L12" s="13">
        <f>676591.183+170375.63</f>
        <v>846966.813</v>
      </c>
      <c r="M12" s="13">
        <f>680645.678+154315.528</f>
        <v>834961.206</v>
      </c>
    </row>
    <row r="13" spans="1:13" ht="26.25">
      <c r="A13" s="16" t="s">
        <v>47</v>
      </c>
      <c r="B13" s="5">
        <f aca="true" t="shared" si="4" ref="B13:M13">B15+B16</f>
        <v>1834393.5150000001</v>
      </c>
      <c r="C13" s="5">
        <f t="shared" si="4"/>
        <v>1928261.843</v>
      </c>
      <c r="D13" s="5">
        <f t="shared" si="4"/>
        <v>1976762.885</v>
      </c>
      <c r="E13" s="5">
        <f t="shared" si="4"/>
        <v>2022487.4980000001</v>
      </c>
      <c r="F13" s="5">
        <f t="shared" si="4"/>
        <v>2061152.292</v>
      </c>
      <c r="G13" s="11">
        <f t="shared" si="4"/>
        <v>2085234.5069999998</v>
      </c>
      <c r="H13" s="11">
        <f t="shared" si="4"/>
        <v>2180405.193</v>
      </c>
      <c r="I13" s="11">
        <f t="shared" si="4"/>
        <v>2242045.725</v>
      </c>
      <c r="J13" s="11">
        <f t="shared" si="4"/>
        <v>2282382.809</v>
      </c>
      <c r="K13" s="11">
        <f t="shared" si="4"/>
        <v>2751743.11</v>
      </c>
      <c r="L13" s="11">
        <f t="shared" si="4"/>
        <v>2909544.582</v>
      </c>
      <c r="M13" s="11">
        <f t="shared" si="4"/>
        <v>2985711.773</v>
      </c>
    </row>
    <row r="14" spans="1:13" ht="14.2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4.25">
      <c r="A15" s="25" t="s">
        <v>19</v>
      </c>
      <c r="B15" s="8">
        <v>34473.378</v>
      </c>
      <c r="C15" s="8">
        <v>34455.196</v>
      </c>
      <c r="D15" s="8">
        <v>34441.766</v>
      </c>
      <c r="E15" s="8">
        <v>34428.584</v>
      </c>
      <c r="F15" s="8">
        <v>34413.487</v>
      </c>
      <c r="G15" s="14">
        <v>34391.424</v>
      </c>
      <c r="H15" s="14">
        <v>34371.423</v>
      </c>
      <c r="I15" s="14">
        <v>34370.389</v>
      </c>
      <c r="J15" s="14">
        <v>34368.319</v>
      </c>
      <c r="K15" s="14">
        <v>34328.168</v>
      </c>
      <c r="L15" s="14">
        <v>34296.427</v>
      </c>
      <c r="M15" s="14">
        <v>34294.191</v>
      </c>
    </row>
    <row r="16" spans="1:13" ht="14.25">
      <c r="A16" s="25" t="s">
        <v>38</v>
      </c>
      <c r="B16" s="7">
        <f>1799883+37.137</f>
        <v>1799920.137</v>
      </c>
      <c r="C16" s="7">
        <f>1893733+73.647</f>
        <v>1893806.647</v>
      </c>
      <c r="D16" s="7">
        <f>1942234+87.119</f>
        <v>1942321.119</v>
      </c>
      <c r="E16" s="7">
        <f>1987956.726+102.188</f>
        <v>1988058.914</v>
      </c>
      <c r="F16" s="7">
        <f>2026299.591+439.214</f>
        <v>2026738.805</v>
      </c>
      <c r="G16" s="13">
        <f>1306525.329+743909+408.754</f>
        <v>2050843.0829999999</v>
      </c>
      <c r="H16" s="13">
        <f>1401646.338+743909+478.432</f>
        <v>2146033.77</v>
      </c>
      <c r="I16" s="13">
        <f>1463244.832+743909+521.504</f>
        <v>2207675.336</v>
      </c>
      <c r="J16" s="13">
        <f>1503588.616+743909+516.874</f>
        <v>2248014.4899999998</v>
      </c>
      <c r="K16" s="13">
        <f>2716725.414+689.528</f>
        <v>2717414.942</v>
      </c>
      <c r="L16" s="13">
        <f>2874303.573+944.582</f>
        <v>2875248.155</v>
      </c>
      <c r="M16" s="13">
        <f>2950075.556+1342.026</f>
        <v>2951417.582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zoomScalePageLayoutView="0" workbookViewId="0" topLeftCell="A4">
      <selection activeCell="M7" sqref="M7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22</v>
      </c>
    </row>
    <row r="5" spans="1:13" ht="26.25">
      <c r="A5" s="16" t="s">
        <v>46</v>
      </c>
      <c r="B5" s="5">
        <f aca="true" t="shared" si="0" ref="B5:M5">B9+B13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11">
        <f t="shared" si="0"/>
        <v>1478113.362</v>
      </c>
      <c r="H5" s="11">
        <f t="shared" si="0"/>
        <v>1491352.5040000002</v>
      </c>
      <c r="I5" s="11">
        <f t="shared" si="0"/>
        <v>1530483.602</v>
      </c>
      <c r="J5" s="11">
        <f t="shared" si="0"/>
        <v>1532034.821</v>
      </c>
      <c r="K5" s="11">
        <f t="shared" si="0"/>
        <v>1559420.166</v>
      </c>
      <c r="L5" s="11">
        <f t="shared" si="0"/>
        <v>1620478.137</v>
      </c>
      <c r="M5" s="11">
        <f t="shared" si="0"/>
        <v>2393134.1890000002</v>
      </c>
    </row>
    <row r="6" spans="1:13" ht="14.2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5" t="s">
        <v>19</v>
      </c>
      <c r="B7" s="7">
        <v>148660.925</v>
      </c>
      <c r="C7" s="7">
        <v>148199.519</v>
      </c>
      <c r="D7" s="7">
        <v>146931.068</v>
      </c>
      <c r="E7" s="7">
        <v>145093.999</v>
      </c>
      <c r="F7" s="7">
        <v>146948.432</v>
      </c>
      <c r="G7" s="13">
        <v>151876.892</v>
      </c>
      <c r="H7" s="13">
        <v>152168.784</v>
      </c>
      <c r="I7" s="13">
        <v>152267.776</v>
      </c>
      <c r="J7" s="13">
        <v>153463.355</v>
      </c>
      <c r="K7" s="13">
        <f aca="true" t="shared" si="1" ref="K7:M8">K11+K15</f>
        <v>153217.692</v>
      </c>
      <c r="L7" s="13">
        <f t="shared" si="1"/>
        <v>154003.224</v>
      </c>
      <c r="M7" s="13">
        <f t="shared" si="1"/>
        <v>148861.687</v>
      </c>
    </row>
    <row r="8" spans="1:13" ht="14.25">
      <c r="A8" s="25" t="s">
        <v>20</v>
      </c>
      <c r="B8" s="7">
        <v>1147320.724</v>
      </c>
      <c r="C8" s="7">
        <v>1184879.524</v>
      </c>
      <c r="D8" s="7">
        <v>1209955.308</v>
      </c>
      <c r="E8" s="7">
        <v>1258175.521</v>
      </c>
      <c r="F8" s="7">
        <v>1291466.525</v>
      </c>
      <c r="G8" s="13">
        <v>1326236.47</v>
      </c>
      <c r="H8" s="13">
        <v>1339183.72</v>
      </c>
      <c r="I8" s="13">
        <v>1378215.826</v>
      </c>
      <c r="J8" s="13">
        <v>1378571.466</v>
      </c>
      <c r="K8" s="13">
        <f t="shared" si="1"/>
        <v>1406202.474</v>
      </c>
      <c r="L8" s="13">
        <f t="shared" si="1"/>
        <v>1466474.913</v>
      </c>
      <c r="M8" s="13">
        <f t="shared" si="1"/>
        <v>2244272.502</v>
      </c>
    </row>
    <row r="9" spans="1:13" ht="26.25">
      <c r="A9" s="16" t="s">
        <v>48</v>
      </c>
      <c r="B9" s="5">
        <f aca="true" t="shared" si="2" ref="B9:M9">B11+B12</f>
        <v>514275.566</v>
      </c>
      <c r="C9" s="5">
        <f t="shared" si="2"/>
        <v>534069.8470000001</v>
      </c>
      <c r="D9" s="5">
        <f t="shared" si="2"/>
        <v>548173.091</v>
      </c>
      <c r="E9" s="5">
        <f t="shared" si="2"/>
        <v>563821.988</v>
      </c>
      <c r="F9" s="5">
        <f t="shared" si="2"/>
        <v>582610.151</v>
      </c>
      <c r="G9" s="11">
        <f t="shared" si="2"/>
        <v>559892.858</v>
      </c>
      <c r="H9" s="11">
        <f t="shared" si="2"/>
        <v>544656.209</v>
      </c>
      <c r="I9" s="11">
        <f t="shared" si="2"/>
        <v>574795.2440000001</v>
      </c>
      <c r="J9" s="11">
        <f t="shared" si="2"/>
        <v>561908.628</v>
      </c>
      <c r="K9" s="11">
        <f t="shared" si="2"/>
        <v>568986.466</v>
      </c>
      <c r="L9" s="11">
        <f t="shared" si="2"/>
        <v>571010.864</v>
      </c>
      <c r="M9" s="11">
        <f t="shared" si="2"/>
        <v>585947.8659999999</v>
      </c>
    </row>
    <row r="10" spans="1:13" ht="14.2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4.25">
      <c r="A11" s="25" t="s">
        <v>19</v>
      </c>
      <c r="B11" s="7">
        <v>119551.05</v>
      </c>
      <c r="C11" s="7">
        <v>119053.306</v>
      </c>
      <c r="D11" s="7">
        <v>117779.295</v>
      </c>
      <c r="E11" s="7">
        <v>115938.333</v>
      </c>
      <c r="F11" s="7">
        <v>117721.069</v>
      </c>
      <c r="G11" s="13">
        <v>117381.434</v>
      </c>
      <c r="H11" s="13">
        <v>117674.195</v>
      </c>
      <c r="I11" s="13">
        <v>124859.371</v>
      </c>
      <c r="J11" s="13">
        <v>118972.193</v>
      </c>
      <c r="K11" s="13">
        <v>118728.388</v>
      </c>
      <c r="L11" s="13">
        <v>119519.199</v>
      </c>
      <c r="M11" s="13">
        <v>114381.364</v>
      </c>
    </row>
    <row r="12" spans="1:13" ht="14.25">
      <c r="A12" s="25" t="s">
        <v>38</v>
      </c>
      <c r="B12" s="7">
        <v>394724.516</v>
      </c>
      <c r="C12" s="7">
        <v>415016.541</v>
      </c>
      <c r="D12" s="7">
        <v>430393.796</v>
      </c>
      <c r="E12" s="7">
        <v>447883.655</v>
      </c>
      <c r="F12" s="7">
        <v>464889.082</v>
      </c>
      <c r="G12" s="13">
        <v>442511.424</v>
      </c>
      <c r="H12" s="13">
        <v>426982.014</v>
      </c>
      <c r="I12" s="13">
        <v>449935.873</v>
      </c>
      <c r="J12" s="13">
        <v>442936.435</v>
      </c>
      <c r="K12" s="13">
        <v>450258.078</v>
      </c>
      <c r="L12" s="13">
        <v>451491.665</v>
      </c>
      <c r="M12" s="13">
        <f>401405+70161.502</f>
        <v>471566.502</v>
      </c>
    </row>
    <row r="13" spans="1:13" ht="26.25">
      <c r="A13" s="16" t="s">
        <v>47</v>
      </c>
      <c r="B13" s="5">
        <f aca="true" t="shared" si="3" ref="B13:M13">B15+B16</f>
        <v>781705.993</v>
      </c>
      <c r="C13" s="5">
        <f t="shared" si="3"/>
        <v>799009.196</v>
      </c>
      <c r="D13" s="5">
        <f t="shared" si="3"/>
        <v>808713.285</v>
      </c>
      <c r="E13" s="5">
        <f t="shared" si="3"/>
        <v>839447.532</v>
      </c>
      <c r="F13" s="5">
        <f t="shared" si="3"/>
        <v>855804.806</v>
      </c>
      <c r="G13" s="11">
        <f t="shared" si="3"/>
        <v>918220.504</v>
      </c>
      <c r="H13" s="11">
        <f t="shared" si="3"/>
        <v>946696.295</v>
      </c>
      <c r="I13" s="11">
        <f t="shared" si="3"/>
        <v>955688.358</v>
      </c>
      <c r="J13" s="11">
        <f t="shared" si="3"/>
        <v>970126.193</v>
      </c>
      <c r="K13" s="11">
        <f t="shared" si="3"/>
        <v>990433.7</v>
      </c>
      <c r="L13" s="11">
        <f t="shared" si="3"/>
        <v>1049467.273</v>
      </c>
      <c r="M13" s="11">
        <f t="shared" si="3"/>
        <v>1807186.323</v>
      </c>
    </row>
    <row r="14" spans="1:13" ht="14.2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4.25">
      <c r="A15" s="25" t="s">
        <v>19</v>
      </c>
      <c r="B15" s="8">
        <v>29109.785</v>
      </c>
      <c r="C15" s="8">
        <v>29146.213</v>
      </c>
      <c r="D15" s="8">
        <v>29151.773</v>
      </c>
      <c r="E15" s="8">
        <v>29155.666</v>
      </c>
      <c r="F15" s="8">
        <v>29227.363</v>
      </c>
      <c r="G15" s="14">
        <v>34495.458</v>
      </c>
      <c r="H15" s="14">
        <v>34494.589</v>
      </c>
      <c r="I15" s="14">
        <v>27408.405</v>
      </c>
      <c r="J15" s="14">
        <v>34491.162</v>
      </c>
      <c r="K15" s="14">
        <v>34489.304</v>
      </c>
      <c r="L15" s="14">
        <v>34484.025</v>
      </c>
      <c r="M15" s="14">
        <v>34480.323</v>
      </c>
    </row>
    <row r="16" spans="1:13" ht="14.25">
      <c r="A16" s="25" t="s">
        <v>38</v>
      </c>
      <c r="B16" s="7">
        <v>752596.208</v>
      </c>
      <c r="C16" s="7">
        <v>769862.983</v>
      </c>
      <c r="D16" s="7">
        <v>779561.512</v>
      </c>
      <c r="E16" s="7">
        <v>810291.866</v>
      </c>
      <c r="F16" s="7">
        <v>826577.443</v>
      </c>
      <c r="G16" s="13">
        <v>883725.046</v>
      </c>
      <c r="H16" s="13">
        <v>912201.706</v>
      </c>
      <c r="I16" s="13">
        <v>928279.953</v>
      </c>
      <c r="J16" s="13">
        <v>935635.031</v>
      </c>
      <c r="K16" s="13">
        <v>955944.396</v>
      </c>
      <c r="L16" s="13">
        <v>1014983.248</v>
      </c>
      <c r="M16" s="13">
        <v>1772706</v>
      </c>
    </row>
    <row r="17" ht="14.25">
      <c r="A17" s="17" t="s">
        <v>21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selection activeCell="A9" sqref="A9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23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11">
        <v>1176177</v>
      </c>
      <c r="H5" s="11">
        <v>1193540.7850000001</v>
      </c>
      <c r="I5" s="11">
        <v>1223669</v>
      </c>
      <c r="J5" s="11">
        <v>1236235</v>
      </c>
      <c r="K5" s="11">
        <v>1251284</v>
      </c>
      <c r="L5" s="11">
        <f>L9+L13</f>
        <v>1285372.048</v>
      </c>
      <c r="M5" s="11">
        <f>M9+M13</f>
        <v>1286289.574</v>
      </c>
    </row>
    <row r="6" spans="1:13" ht="14.2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5" t="s">
        <v>19</v>
      </c>
      <c r="B7" s="7">
        <v>150052.026</v>
      </c>
      <c r="C7" s="7">
        <v>150154.068</v>
      </c>
      <c r="D7" s="7">
        <v>148545</v>
      </c>
      <c r="E7" s="7">
        <v>147373.789</v>
      </c>
      <c r="F7" s="7">
        <v>147585</v>
      </c>
      <c r="G7" s="13">
        <v>147415</v>
      </c>
      <c r="H7" s="13">
        <v>147408.655</v>
      </c>
      <c r="I7" s="13">
        <v>147846</v>
      </c>
      <c r="J7" s="13">
        <v>147048</v>
      </c>
      <c r="K7" s="13">
        <v>149307</v>
      </c>
      <c r="L7" s="13">
        <v>148572.901</v>
      </c>
      <c r="M7" s="13">
        <v>148529.912</v>
      </c>
    </row>
    <row r="8" spans="1:13" ht="14.25">
      <c r="A8" s="25" t="s">
        <v>20</v>
      </c>
      <c r="B8" s="7">
        <v>957602.8389999999</v>
      </c>
      <c r="C8" s="7">
        <v>968689.285</v>
      </c>
      <c r="D8" s="7">
        <v>974638</v>
      </c>
      <c r="E8" s="7">
        <v>995004.746</v>
      </c>
      <c r="F8" s="7">
        <v>1022249</v>
      </c>
      <c r="G8" s="13">
        <v>1028762</v>
      </c>
      <c r="H8" s="13">
        <v>1046132.13</v>
      </c>
      <c r="I8" s="13">
        <v>1075822</v>
      </c>
      <c r="J8" s="13">
        <v>1089187</v>
      </c>
      <c r="K8" s="13">
        <v>1101978</v>
      </c>
      <c r="L8" s="13">
        <v>1136799.147</v>
      </c>
      <c r="M8" s="13">
        <v>1137759.661</v>
      </c>
    </row>
    <row r="9" spans="1:13" ht="26.25">
      <c r="A9" s="16" t="s">
        <v>48</v>
      </c>
      <c r="B9" s="5">
        <v>459315.08199999994</v>
      </c>
      <c r="C9" s="5">
        <v>465911.171</v>
      </c>
      <c r="D9" s="5">
        <v>473569</v>
      </c>
      <c r="E9" s="5">
        <v>485908.111</v>
      </c>
      <c r="F9" s="5">
        <v>498120</v>
      </c>
      <c r="G9" s="11">
        <v>503964</v>
      </c>
      <c r="H9" s="11">
        <v>513465.799</v>
      </c>
      <c r="I9" s="11">
        <v>539989</v>
      </c>
      <c r="J9" s="11">
        <v>533413</v>
      </c>
      <c r="K9" s="11">
        <v>535794</v>
      </c>
      <c r="L9" s="11">
        <f>L11+L12</f>
        <v>541910.8030000001</v>
      </c>
      <c r="M9" s="11">
        <f>M11+M12</f>
        <v>524315.214</v>
      </c>
    </row>
    <row r="10" spans="1:13" ht="14.2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4.25">
      <c r="A11" s="25" t="s">
        <v>19</v>
      </c>
      <c r="B11" s="7">
        <v>122315.079</v>
      </c>
      <c r="C11" s="7">
        <v>122406.225</v>
      </c>
      <c r="D11" s="7">
        <v>120788</v>
      </c>
      <c r="E11" s="7">
        <v>119695.272</v>
      </c>
      <c r="F11" s="7">
        <v>119709</v>
      </c>
      <c r="G11" s="13">
        <v>119002</v>
      </c>
      <c r="H11" s="13">
        <v>118736.491</v>
      </c>
      <c r="I11" s="13">
        <v>118926</v>
      </c>
      <c r="J11" s="13">
        <v>118195</v>
      </c>
      <c r="K11" s="13">
        <v>120403</v>
      </c>
      <c r="L11" s="13">
        <v>119585.451</v>
      </c>
      <c r="M11" s="13">
        <v>119504.41</v>
      </c>
    </row>
    <row r="12" spans="1:13" ht="14.25">
      <c r="A12" s="25" t="s">
        <v>38</v>
      </c>
      <c r="B12" s="7">
        <v>337000.00299999997</v>
      </c>
      <c r="C12" s="7">
        <v>343504.946</v>
      </c>
      <c r="D12" s="7">
        <v>352782</v>
      </c>
      <c r="E12" s="7">
        <v>366212.839</v>
      </c>
      <c r="F12" s="7">
        <v>378412</v>
      </c>
      <c r="G12" s="13">
        <v>384963</v>
      </c>
      <c r="H12" s="13">
        <v>394729.308</v>
      </c>
      <c r="I12" s="13">
        <v>421063</v>
      </c>
      <c r="J12" s="13">
        <v>415218</v>
      </c>
      <c r="K12" s="13">
        <v>415392</v>
      </c>
      <c r="L12" s="13">
        <v>422325.352</v>
      </c>
      <c r="M12" s="13">
        <v>404810.804</v>
      </c>
    </row>
    <row r="13" spans="1:13" ht="26.25">
      <c r="A13" s="16" t="s">
        <v>47</v>
      </c>
      <c r="B13" s="5">
        <v>648339.783</v>
      </c>
      <c r="C13" s="5">
        <v>652932.182</v>
      </c>
      <c r="D13" s="5">
        <v>649613</v>
      </c>
      <c r="E13" s="5">
        <v>656470.424</v>
      </c>
      <c r="F13" s="5">
        <v>671714</v>
      </c>
      <c r="G13" s="11">
        <v>672212</v>
      </c>
      <c r="H13" s="11">
        <v>680074.986</v>
      </c>
      <c r="I13" s="11">
        <v>683680</v>
      </c>
      <c r="J13" s="11">
        <v>702823</v>
      </c>
      <c r="K13" s="11">
        <v>715490</v>
      </c>
      <c r="L13" s="11">
        <f>L15+L16</f>
        <v>743461.245</v>
      </c>
      <c r="M13" s="11">
        <f>M15+M16</f>
        <v>761974.36</v>
      </c>
    </row>
    <row r="14" spans="1:13" ht="14.2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4.25">
      <c r="A15" s="25" t="s">
        <v>19</v>
      </c>
      <c r="B15" s="8">
        <v>27736.947</v>
      </c>
      <c r="C15" s="8">
        <v>27747.843</v>
      </c>
      <c r="D15" s="8">
        <v>27757</v>
      </c>
      <c r="E15" s="8">
        <v>27678.517</v>
      </c>
      <c r="F15" s="8">
        <v>27877</v>
      </c>
      <c r="G15" s="14">
        <v>28413</v>
      </c>
      <c r="H15" s="14">
        <v>28672.164</v>
      </c>
      <c r="I15" s="14">
        <v>28920</v>
      </c>
      <c r="J15" s="14">
        <v>28853</v>
      </c>
      <c r="K15" s="14">
        <v>28904</v>
      </c>
      <c r="L15" s="14">
        <v>28987.45</v>
      </c>
      <c r="M15" s="14">
        <v>29025.502</v>
      </c>
    </row>
    <row r="16" spans="1:13" ht="14.25">
      <c r="A16" s="25" t="s">
        <v>38</v>
      </c>
      <c r="B16" s="7">
        <v>620602.836</v>
      </c>
      <c r="C16" s="7">
        <v>625184.339</v>
      </c>
      <c r="D16" s="7">
        <v>621856</v>
      </c>
      <c r="E16" s="7">
        <v>628791.907</v>
      </c>
      <c r="F16" s="7">
        <v>643837</v>
      </c>
      <c r="G16" s="13">
        <v>643799</v>
      </c>
      <c r="H16" s="13">
        <v>651402.822</v>
      </c>
      <c r="I16" s="13">
        <v>654759</v>
      </c>
      <c r="J16" s="13">
        <v>673970</v>
      </c>
      <c r="K16" s="13">
        <v>686586</v>
      </c>
      <c r="L16" s="13">
        <v>714473.795</v>
      </c>
      <c r="M16" s="13">
        <v>732948.858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125" defaultRowHeight="12.75"/>
  <cols>
    <col min="1" max="1" width="40.50390625" style="22" customWidth="1"/>
    <col min="2" max="2" width="10.50390625" style="22" customWidth="1"/>
    <col min="3" max="3" width="10.125" style="22" customWidth="1"/>
    <col min="4" max="4" width="9.875" style="22" customWidth="1"/>
    <col min="5" max="5" width="9.75390625" style="22" customWidth="1"/>
    <col min="6" max="6" width="9.50390625" style="22" customWidth="1"/>
    <col min="7" max="7" width="9.875" style="22" customWidth="1"/>
    <col min="8" max="8" width="11.50390625" style="22" customWidth="1"/>
    <col min="9" max="10" width="9.50390625" style="22" customWidth="1"/>
    <col min="11" max="12" width="9.87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125" style="22" customWidth="1"/>
  </cols>
  <sheetData>
    <row r="1" spans="2:4" ht="13.5" customHeight="1">
      <c r="B1" s="34"/>
      <c r="C1" s="34"/>
      <c r="D1" s="34"/>
    </row>
    <row r="2" spans="1:13" ht="61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7:13" ht="18" customHeight="1">
      <c r="G3" s="35"/>
      <c r="H3" s="35"/>
      <c r="L3" s="44" t="s">
        <v>50</v>
      </c>
      <c r="M3" s="44"/>
    </row>
    <row r="4" spans="1:13" ht="18" customHeight="1">
      <c r="A4" s="33" t="s">
        <v>37</v>
      </c>
      <c r="B4" s="40">
        <v>2022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4.2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4.25">
      <c r="A6" s="16" t="s">
        <v>46</v>
      </c>
      <c r="B6" s="11">
        <f aca="true" t="shared" si="0" ref="B6:L6">B10+B14</f>
        <v>12146189.018911332</v>
      </c>
      <c r="C6" s="11">
        <f t="shared" si="0"/>
        <v>12340081.608367333</v>
      </c>
      <c r="D6" s="11">
        <f t="shared" si="0"/>
        <v>12937508.7653788</v>
      </c>
      <c r="E6" s="11">
        <f t="shared" si="0"/>
        <v>12966793.245995503</v>
      </c>
      <c r="F6" s="11">
        <f t="shared" si="0"/>
        <v>12609499.193712002</v>
      </c>
      <c r="G6" s="11">
        <f t="shared" si="0"/>
        <v>12393761.023779605</v>
      </c>
      <c r="H6" s="11">
        <f t="shared" si="0"/>
        <v>12372130.51429076</v>
      </c>
      <c r="I6" s="11">
        <f t="shared" si="0"/>
        <v>12706308.549529864</v>
      </c>
      <c r="J6" s="11">
        <f t="shared" si="0"/>
        <v>13015051.832664402</v>
      </c>
      <c r="K6" s="11">
        <f t="shared" si="0"/>
        <v>13256373.616179846</v>
      </c>
      <c r="L6" s="11">
        <f t="shared" si="0"/>
        <v>13438544.176625803</v>
      </c>
      <c r="M6" s="11">
        <v>13656978.545783319</v>
      </c>
    </row>
    <row r="7" spans="1:15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4.25">
      <c r="A8" s="25" t="s">
        <v>19</v>
      </c>
      <c r="B8" s="13">
        <f aca="true" t="shared" si="1" ref="B8:L9">B12+B16</f>
        <v>80634.53175</v>
      </c>
      <c r="C8" s="13">
        <f t="shared" si="1"/>
        <v>80481.03548</v>
      </c>
      <c r="D8" s="13">
        <f t="shared" si="1"/>
        <v>80386.76463</v>
      </c>
      <c r="E8" s="13">
        <f t="shared" si="1"/>
        <v>80289.21181000001</v>
      </c>
      <c r="F8" s="13">
        <f t="shared" si="1"/>
        <v>80205.57916000001</v>
      </c>
      <c r="G8" s="13">
        <f t="shared" si="1"/>
        <v>80114.57436</v>
      </c>
      <c r="H8" s="13">
        <f t="shared" si="1"/>
        <v>80034.01023</v>
      </c>
      <c r="I8" s="13">
        <f t="shared" si="1"/>
        <v>79869.94933000002</v>
      </c>
      <c r="J8" s="13">
        <f t="shared" si="1"/>
        <v>79774.90822000001</v>
      </c>
      <c r="K8" s="13">
        <f t="shared" si="1"/>
        <v>79601.62081000001</v>
      </c>
      <c r="L8" s="13">
        <f t="shared" si="1"/>
        <v>79488.17485000001</v>
      </c>
      <c r="M8" s="13">
        <v>79399.47786</v>
      </c>
    </row>
    <row r="9" spans="1:15" ht="14.25">
      <c r="A9" s="25" t="s">
        <v>20</v>
      </c>
      <c r="B9" s="13">
        <f t="shared" si="1"/>
        <v>12065554.487161333</v>
      </c>
      <c r="C9" s="13">
        <f t="shared" si="1"/>
        <v>12259600.572887333</v>
      </c>
      <c r="D9" s="13">
        <f t="shared" si="1"/>
        <v>12857122.0007488</v>
      </c>
      <c r="E9" s="13">
        <f t="shared" si="1"/>
        <v>12886504.034185503</v>
      </c>
      <c r="F9" s="13">
        <f t="shared" si="1"/>
        <v>12529293.614552002</v>
      </c>
      <c r="G9" s="13">
        <f t="shared" si="1"/>
        <v>12313646.449419605</v>
      </c>
      <c r="H9" s="13">
        <f t="shared" si="1"/>
        <v>12292096.50406076</v>
      </c>
      <c r="I9" s="13">
        <f t="shared" si="1"/>
        <v>12626438.600199863</v>
      </c>
      <c r="J9" s="13">
        <f t="shared" si="1"/>
        <v>12935276.924444402</v>
      </c>
      <c r="K9" s="13">
        <f t="shared" si="1"/>
        <v>13176771.995369846</v>
      </c>
      <c r="L9" s="13">
        <f t="shared" si="1"/>
        <v>13359056.001775803</v>
      </c>
      <c r="M9" s="13">
        <v>13577579.067923319</v>
      </c>
      <c r="O9" s="36"/>
    </row>
    <row r="10" spans="1:13" ht="14.25">
      <c r="A10" s="16" t="s">
        <v>48</v>
      </c>
      <c r="B10" s="11">
        <f>B12+B13</f>
        <v>8222412.926300002</v>
      </c>
      <c r="C10" s="11">
        <f aca="true" t="shared" si="2" ref="C10:H10">C12+C13</f>
        <v>8453972.817362003</v>
      </c>
      <c r="D10" s="11">
        <f t="shared" si="2"/>
        <v>8597297.2507164</v>
      </c>
      <c r="E10" s="11">
        <f t="shared" si="2"/>
        <v>8687332.432898302</v>
      </c>
      <c r="F10" s="11">
        <f t="shared" si="2"/>
        <v>8710806.691376003</v>
      </c>
      <c r="G10" s="11">
        <f t="shared" si="2"/>
        <v>8837114.440499254</v>
      </c>
      <c r="H10" s="11">
        <f t="shared" si="2"/>
        <v>8958057.09602538</v>
      </c>
      <c r="I10" s="11">
        <f>I12+I13</f>
        <v>9177742.32075</v>
      </c>
      <c r="J10" s="11">
        <f>J12+J13</f>
        <v>9356202.962810002</v>
      </c>
      <c r="K10" s="11">
        <f>K12+K13</f>
        <v>9399748.516009998</v>
      </c>
      <c r="L10" s="11">
        <f>L12+L13</f>
        <v>9559450.311770003</v>
      </c>
      <c r="M10" s="11">
        <v>9795660.42298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80634.53175</v>
      </c>
      <c r="C12" s="13">
        <v>80481.03548</v>
      </c>
      <c r="D12" s="13">
        <v>80386.76463</v>
      </c>
      <c r="E12" s="13">
        <v>80289.21181000001</v>
      </c>
      <c r="F12" s="13">
        <v>80205.57916000001</v>
      </c>
      <c r="G12" s="13">
        <v>80114.57436</v>
      </c>
      <c r="H12" s="13">
        <v>80034.01023</v>
      </c>
      <c r="I12" s="13">
        <v>79869.94933000002</v>
      </c>
      <c r="J12" s="13">
        <v>79774.90822000001</v>
      </c>
      <c r="K12" s="13">
        <v>79601.62081000001</v>
      </c>
      <c r="L12" s="13">
        <v>79488.17485000001</v>
      </c>
      <c r="M12" s="13">
        <v>79399.47786</v>
      </c>
    </row>
    <row r="13" spans="1:14" ht="14.25">
      <c r="A13" s="25" t="s">
        <v>38</v>
      </c>
      <c r="B13" s="13">
        <v>8141778.394550002</v>
      </c>
      <c r="C13" s="13">
        <v>8373491.781882003</v>
      </c>
      <c r="D13" s="13">
        <v>8516910.4860864</v>
      </c>
      <c r="E13" s="13">
        <v>8607043.221088301</v>
      </c>
      <c r="F13" s="13">
        <v>8630601.112216003</v>
      </c>
      <c r="G13" s="13">
        <v>8756999.866139254</v>
      </c>
      <c r="H13" s="13">
        <v>8878023.08579538</v>
      </c>
      <c r="I13" s="13">
        <v>9097872.37142</v>
      </c>
      <c r="J13" s="13">
        <v>9276428.054590002</v>
      </c>
      <c r="K13" s="13">
        <v>9320146.895199997</v>
      </c>
      <c r="L13" s="13">
        <v>9479962.136920003</v>
      </c>
      <c r="M13" s="13">
        <v>9716260.94512</v>
      </c>
      <c r="N13" s="32"/>
    </row>
    <row r="14" spans="1:13" ht="14.25">
      <c r="A14" s="16" t="s">
        <v>47</v>
      </c>
      <c r="B14" s="11">
        <f>B16+B17</f>
        <v>3923776.0926113306</v>
      </c>
      <c r="C14" s="11">
        <f aca="true" t="shared" si="3" ref="C14:H14">C16+C17</f>
        <v>3886108.7910053306</v>
      </c>
      <c r="D14" s="11">
        <f t="shared" si="3"/>
        <v>4340211.5146624</v>
      </c>
      <c r="E14" s="11">
        <f t="shared" si="3"/>
        <v>4279460.8130972</v>
      </c>
      <c r="F14" s="11">
        <f t="shared" si="3"/>
        <v>3898692.5023359996</v>
      </c>
      <c r="G14" s="11">
        <f t="shared" si="3"/>
        <v>3556646.5832803505</v>
      </c>
      <c r="H14" s="11">
        <f t="shared" si="3"/>
        <v>3414073.41826538</v>
      </c>
      <c r="I14" s="11">
        <f>I16+I17</f>
        <v>3528566.2287798636</v>
      </c>
      <c r="J14" s="11">
        <f>J16+J17</f>
        <v>3658848.8698543995</v>
      </c>
      <c r="K14" s="11">
        <f>K16+K17</f>
        <v>3856625.1001698487</v>
      </c>
      <c r="L14" s="11">
        <f>L16+L17</f>
        <v>3879093.8648558</v>
      </c>
      <c r="M14" s="11">
        <v>3861318.1228033197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v>3923776.0926113306</v>
      </c>
      <c r="C17" s="13">
        <v>3886108.7910053306</v>
      </c>
      <c r="D17" s="13">
        <v>4340211.5146624</v>
      </c>
      <c r="E17" s="13">
        <v>4279460.8130972</v>
      </c>
      <c r="F17" s="13">
        <v>3898692.5023359996</v>
      </c>
      <c r="G17" s="13">
        <v>3556646.5832803505</v>
      </c>
      <c r="H17" s="13">
        <v>3414073.41826538</v>
      </c>
      <c r="I17" s="13">
        <v>3528566.2287798636</v>
      </c>
      <c r="J17" s="13">
        <v>3658848.8698543995</v>
      </c>
      <c r="K17" s="13">
        <v>3856625.1001698487</v>
      </c>
      <c r="L17" s="13">
        <v>3879093.8648558</v>
      </c>
      <c r="M17" s="13">
        <v>3861318.1228033197</v>
      </c>
    </row>
    <row r="19" spans="3:12" ht="14.25">
      <c r="C19" s="32"/>
      <c r="D19" s="32"/>
      <c r="E19" s="32"/>
      <c r="F19" s="32"/>
      <c r="G19" s="32"/>
      <c r="H19" s="32"/>
      <c r="J19" s="32"/>
      <c r="L19" s="32"/>
    </row>
    <row r="20" spans="2:12" ht="14.25">
      <c r="B20" s="37"/>
      <c r="C20" s="32"/>
      <c r="D20" s="32"/>
      <c r="G20" s="32"/>
      <c r="H20" s="32"/>
      <c r="J20" s="32"/>
      <c r="L20" s="32"/>
    </row>
    <row r="21" spans="2:12" ht="14.25">
      <c r="B21" s="32"/>
      <c r="C21" s="32"/>
      <c r="E21" s="32"/>
      <c r="F21" s="32"/>
      <c r="H21" s="32"/>
      <c r="J21" s="32"/>
      <c r="L21" s="32"/>
    </row>
    <row r="22" spans="8:13" ht="14.25">
      <c r="H22" s="32"/>
      <c r="I22" s="32"/>
      <c r="J22" s="32"/>
      <c r="L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SheetLayoutView="75" zoomScalePageLayoutView="0" workbookViewId="0" topLeftCell="A1">
      <pane xSplit="1" ySplit="4" topLeftCell="B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F21" sqref="F21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11">
        <v>1024956.094</v>
      </c>
      <c r="H5" s="11">
        <v>1039357.228</v>
      </c>
      <c r="I5" s="11">
        <v>1044082.531</v>
      </c>
      <c r="J5" s="11">
        <v>1096645.2449999999</v>
      </c>
      <c r="K5" s="11">
        <v>1103830.9139999999</v>
      </c>
      <c r="L5" s="11">
        <v>1112450.0189999999</v>
      </c>
      <c r="M5" s="11">
        <v>1091489.668</v>
      </c>
    </row>
    <row r="6" spans="1:13" ht="14.25">
      <c r="A6" s="24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5" t="s">
        <v>19</v>
      </c>
      <c r="B7" s="7">
        <v>143218.654</v>
      </c>
      <c r="C7" s="7">
        <v>144338.292</v>
      </c>
      <c r="D7" s="7">
        <v>141995.903</v>
      </c>
      <c r="E7" s="7">
        <v>149154.066</v>
      </c>
      <c r="F7" s="7">
        <v>150323.303</v>
      </c>
      <c r="G7" s="13">
        <v>149945.459</v>
      </c>
      <c r="H7" s="13">
        <v>150346.307</v>
      </c>
      <c r="I7" s="13">
        <v>150549.932</v>
      </c>
      <c r="J7" s="13">
        <v>151081.015</v>
      </c>
      <c r="K7" s="13">
        <v>150666.201</v>
      </c>
      <c r="L7" s="13">
        <v>150868.356</v>
      </c>
      <c r="M7" s="13">
        <v>150291.655</v>
      </c>
    </row>
    <row r="8" spans="1:13" ht="14.25">
      <c r="A8" s="25" t="s">
        <v>20</v>
      </c>
      <c r="B8" s="7">
        <v>535951.82</v>
      </c>
      <c r="C8" s="7">
        <v>558942.846</v>
      </c>
      <c r="D8" s="7">
        <v>588419.88</v>
      </c>
      <c r="E8" s="7">
        <v>833499.048</v>
      </c>
      <c r="F8" s="7">
        <v>862312.482</v>
      </c>
      <c r="G8" s="13">
        <v>875010.635</v>
      </c>
      <c r="H8" s="13">
        <v>889010.9210000001</v>
      </c>
      <c r="I8" s="13">
        <v>893532.599</v>
      </c>
      <c r="J8" s="13">
        <v>945564.23</v>
      </c>
      <c r="K8" s="13">
        <v>953164.713</v>
      </c>
      <c r="L8" s="13">
        <v>961581.663</v>
      </c>
      <c r="M8" s="13">
        <v>941198.013</v>
      </c>
    </row>
    <row r="9" spans="1:13" ht="26.25">
      <c r="A9" s="16" t="s">
        <v>48</v>
      </c>
      <c r="B9" s="5">
        <v>282338.68200000003</v>
      </c>
      <c r="C9" s="5">
        <v>288666.223</v>
      </c>
      <c r="D9" s="5">
        <v>295940.904</v>
      </c>
      <c r="E9" s="5">
        <v>408199.265</v>
      </c>
      <c r="F9" s="5">
        <v>421296.423</v>
      </c>
      <c r="G9" s="11">
        <v>421847.934</v>
      </c>
      <c r="H9" s="11">
        <v>435424.475</v>
      </c>
      <c r="I9" s="11">
        <v>435913.61</v>
      </c>
      <c r="J9" s="11">
        <v>447484.399</v>
      </c>
      <c r="K9" s="11">
        <v>455314.4</v>
      </c>
      <c r="L9" s="11">
        <v>466968.269</v>
      </c>
      <c r="M9" s="11">
        <v>455712.234</v>
      </c>
    </row>
    <row r="10" spans="1:13" ht="14.25">
      <c r="A10" s="26" t="s">
        <v>17</v>
      </c>
      <c r="B10" s="6"/>
      <c r="C10" s="6"/>
      <c r="D10" s="6"/>
      <c r="E10" s="6"/>
      <c r="F10" s="6"/>
      <c r="G10" s="12"/>
      <c r="H10" s="12"/>
      <c r="I10" s="12"/>
      <c r="J10" s="12"/>
      <c r="K10" s="12"/>
      <c r="L10" s="12"/>
      <c r="M10" s="12"/>
    </row>
    <row r="11" spans="1:13" ht="14.25">
      <c r="A11" s="25" t="s">
        <v>19</v>
      </c>
      <c r="B11" s="7">
        <v>116554.994</v>
      </c>
      <c r="C11" s="7">
        <v>117865.525</v>
      </c>
      <c r="D11" s="7">
        <v>115453.05</v>
      </c>
      <c r="E11" s="7">
        <v>122572.783</v>
      </c>
      <c r="F11" s="7">
        <v>123631.629</v>
      </c>
      <c r="G11" s="13">
        <v>122732.098</v>
      </c>
      <c r="H11" s="13">
        <v>122896.911</v>
      </c>
      <c r="I11" s="13">
        <v>123003.781</v>
      </c>
      <c r="J11" s="13">
        <v>123459.217</v>
      </c>
      <c r="K11" s="13">
        <v>123041.94</v>
      </c>
      <c r="L11" s="13">
        <v>123202.883</v>
      </c>
      <c r="M11" s="13">
        <v>122581.017</v>
      </c>
    </row>
    <row r="12" spans="1:13" ht="14.25">
      <c r="A12" s="25" t="s">
        <v>38</v>
      </c>
      <c r="B12" s="7">
        <v>165783.688</v>
      </c>
      <c r="C12" s="7">
        <v>170800.698</v>
      </c>
      <c r="D12" s="7">
        <v>180487.854</v>
      </c>
      <c r="E12" s="7">
        <v>285626.482</v>
      </c>
      <c r="F12" s="7">
        <v>297664.794</v>
      </c>
      <c r="G12" s="13">
        <v>299115.836</v>
      </c>
      <c r="H12" s="13">
        <v>312527.564</v>
      </c>
      <c r="I12" s="13">
        <v>312909.829</v>
      </c>
      <c r="J12" s="13">
        <v>324025.182</v>
      </c>
      <c r="K12" s="13">
        <v>332272.46</v>
      </c>
      <c r="L12" s="13">
        <v>343765.386</v>
      </c>
      <c r="M12" s="13">
        <v>333131.217</v>
      </c>
    </row>
    <row r="13" spans="1:13" ht="26.25">
      <c r="A13" s="16" t="s">
        <v>47</v>
      </c>
      <c r="B13" s="5">
        <v>396831.79199999996</v>
      </c>
      <c r="C13" s="5">
        <v>414614.915</v>
      </c>
      <c r="D13" s="5">
        <v>434474.879</v>
      </c>
      <c r="E13" s="5">
        <v>574453.849</v>
      </c>
      <c r="F13" s="5">
        <v>591339.362</v>
      </c>
      <c r="G13" s="11">
        <v>603108.16</v>
      </c>
      <c r="H13" s="11">
        <v>603932.753</v>
      </c>
      <c r="I13" s="11">
        <v>608168.921</v>
      </c>
      <c r="J13" s="11">
        <v>649160.8459999999</v>
      </c>
      <c r="K13" s="11">
        <v>648516.514</v>
      </c>
      <c r="L13" s="11">
        <v>645481.75</v>
      </c>
      <c r="M13" s="11">
        <v>635777.434</v>
      </c>
    </row>
    <row r="14" spans="1:13" ht="14.25">
      <c r="A14" s="24" t="s">
        <v>17</v>
      </c>
      <c r="B14" s="7"/>
      <c r="C14" s="7"/>
      <c r="D14" s="7"/>
      <c r="E14" s="7"/>
      <c r="F14" s="7"/>
      <c r="G14" s="13"/>
      <c r="H14" s="13"/>
      <c r="I14" s="13"/>
      <c r="J14" s="13"/>
      <c r="K14" s="13"/>
      <c r="L14" s="13"/>
      <c r="M14" s="13"/>
    </row>
    <row r="15" spans="1:13" ht="14.25">
      <c r="A15" s="25" t="s">
        <v>19</v>
      </c>
      <c r="B15" s="8">
        <v>26663.66</v>
      </c>
      <c r="C15" s="8">
        <v>26472.767</v>
      </c>
      <c r="D15" s="8">
        <v>26542.853</v>
      </c>
      <c r="E15" s="8">
        <v>26581.283</v>
      </c>
      <c r="F15" s="8">
        <v>26691.674</v>
      </c>
      <c r="G15" s="14">
        <v>27213.361</v>
      </c>
      <c r="H15" s="14">
        <v>27449.396</v>
      </c>
      <c r="I15" s="14">
        <v>27546.151</v>
      </c>
      <c r="J15" s="14">
        <v>27621.798</v>
      </c>
      <c r="K15" s="14">
        <v>27624.261</v>
      </c>
      <c r="L15" s="14">
        <v>27665.473</v>
      </c>
      <c r="M15" s="14">
        <v>27710.638</v>
      </c>
    </row>
    <row r="16" spans="1:13" ht="14.25">
      <c r="A16" s="25" t="s">
        <v>38</v>
      </c>
      <c r="B16" s="7">
        <v>370168.132</v>
      </c>
      <c r="C16" s="7">
        <v>388142.148</v>
      </c>
      <c r="D16" s="7">
        <v>407932.026</v>
      </c>
      <c r="E16" s="7">
        <v>547872.566</v>
      </c>
      <c r="F16" s="7">
        <v>564647.688</v>
      </c>
      <c r="G16" s="13">
        <v>575894.799</v>
      </c>
      <c r="H16" s="13">
        <v>576483.3570000001</v>
      </c>
      <c r="I16" s="13">
        <v>580622.77</v>
      </c>
      <c r="J16" s="13">
        <v>621539.048</v>
      </c>
      <c r="K16" s="13">
        <v>620892.253</v>
      </c>
      <c r="L16" s="13">
        <v>617816.277</v>
      </c>
      <c r="M16" s="13">
        <v>608066.796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4">
      <selection activeCell="O10" sqref="O10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v>652553.8150000001</v>
      </c>
      <c r="C5" s="5">
        <v>691009.281</v>
      </c>
      <c r="D5" s="5">
        <v>726986.8770000001</v>
      </c>
      <c r="E5" s="5">
        <v>774873.4720000001</v>
      </c>
      <c r="F5" s="5">
        <v>778472.446</v>
      </c>
      <c r="G5" s="11">
        <v>804812.122</v>
      </c>
      <c r="H5" s="11">
        <f>+H10+H15</f>
        <v>820143.798</v>
      </c>
      <c r="I5" s="11">
        <f>+I10+I15</f>
        <v>818615.683</v>
      </c>
      <c r="J5" s="11">
        <f>+J10+J15</f>
        <v>825573.981</v>
      </c>
      <c r="K5" s="11">
        <f>+K10+K15</f>
        <v>884227.75</v>
      </c>
      <c r="L5" s="11">
        <f>+L10+L15</f>
        <v>847861.59</v>
      </c>
      <c r="M5" s="11">
        <v>671921.267</v>
      </c>
    </row>
    <row r="6" spans="1:13" ht="14.2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" t="s">
        <v>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13">
        <v>0</v>
      </c>
      <c r="H7" s="13">
        <f aca="true" t="shared" si="0" ref="H7:L9">H12+H17</f>
        <v>25601.925</v>
      </c>
      <c r="I7" s="13">
        <f t="shared" si="0"/>
        <v>23943.895</v>
      </c>
      <c r="J7" s="13">
        <f t="shared" si="0"/>
        <v>23943.895</v>
      </c>
      <c r="K7" s="13">
        <f t="shared" si="0"/>
        <v>23373.435</v>
      </c>
      <c r="L7" s="13">
        <f t="shared" si="0"/>
        <v>22656.792</v>
      </c>
      <c r="M7" s="13">
        <v>0</v>
      </c>
    </row>
    <row r="8" spans="1:13" ht="14.25">
      <c r="A8" s="3" t="s">
        <v>19</v>
      </c>
      <c r="B8" s="7">
        <v>178977.276</v>
      </c>
      <c r="C8" s="7">
        <v>179888.245</v>
      </c>
      <c r="D8" s="7">
        <v>179954.794</v>
      </c>
      <c r="E8" s="7">
        <v>180030.529</v>
      </c>
      <c r="F8" s="7">
        <v>179992.687</v>
      </c>
      <c r="G8" s="13">
        <v>180036.98200000002</v>
      </c>
      <c r="H8" s="13">
        <f t="shared" si="0"/>
        <v>148349.459</v>
      </c>
      <c r="I8" s="13">
        <f t="shared" si="0"/>
        <v>150035.618</v>
      </c>
      <c r="J8" s="13">
        <f t="shared" si="0"/>
        <v>150522.289</v>
      </c>
      <c r="K8" s="13">
        <f t="shared" si="0"/>
        <v>150767.933</v>
      </c>
      <c r="L8" s="13">
        <f t="shared" si="0"/>
        <v>151476.891</v>
      </c>
      <c r="M8" s="13">
        <v>149276.853</v>
      </c>
    </row>
    <row r="9" spans="1:13" ht="14.25">
      <c r="A9" s="3" t="s">
        <v>20</v>
      </c>
      <c r="B9" s="7">
        <v>473576.539</v>
      </c>
      <c r="C9" s="7">
        <v>511121.03599999996</v>
      </c>
      <c r="D9" s="7">
        <v>547032.083</v>
      </c>
      <c r="E9" s="7">
        <v>594842.943</v>
      </c>
      <c r="F9" s="7">
        <v>598479.7590000001</v>
      </c>
      <c r="G9" s="13">
        <v>624775.14</v>
      </c>
      <c r="H9" s="13">
        <f t="shared" si="0"/>
        <v>646192.414</v>
      </c>
      <c r="I9" s="13">
        <f t="shared" si="0"/>
        <v>644636.1699999999</v>
      </c>
      <c r="J9" s="13">
        <f t="shared" si="0"/>
        <v>651107.797</v>
      </c>
      <c r="K9" s="13">
        <f t="shared" si="0"/>
        <v>710086.382</v>
      </c>
      <c r="L9" s="13">
        <f t="shared" si="0"/>
        <v>673727.907</v>
      </c>
      <c r="M9" s="13">
        <v>522644.414</v>
      </c>
    </row>
    <row r="10" spans="1:13" ht="26.25">
      <c r="A10" s="16" t="s">
        <v>48</v>
      </c>
      <c r="B10" s="5">
        <v>234949.279</v>
      </c>
      <c r="C10" s="5">
        <v>254448.14899999998</v>
      </c>
      <c r="D10" s="5">
        <v>264909.434</v>
      </c>
      <c r="E10" s="5">
        <v>262335.958</v>
      </c>
      <c r="F10" s="5">
        <v>254786.36700000003</v>
      </c>
      <c r="G10" s="11">
        <v>256872.568</v>
      </c>
      <c r="H10" s="11">
        <v>270946.811</v>
      </c>
      <c r="I10" s="11">
        <v>288222.071</v>
      </c>
      <c r="J10" s="11">
        <v>300634.363</v>
      </c>
      <c r="K10" s="11">
        <v>339000.497</v>
      </c>
      <c r="L10" s="11">
        <v>339068.414</v>
      </c>
      <c r="M10" s="11">
        <v>279517.70499999996</v>
      </c>
    </row>
    <row r="11" spans="1:13" ht="14.2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4.25">
      <c r="A12" s="3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4.25">
      <c r="A13" s="3" t="s">
        <v>19</v>
      </c>
      <c r="B13" s="7">
        <v>116484.267</v>
      </c>
      <c r="C13" s="7">
        <v>116772.972</v>
      </c>
      <c r="D13" s="7">
        <v>116623.198</v>
      </c>
      <c r="E13" s="7">
        <v>116524.551</v>
      </c>
      <c r="F13" s="7">
        <v>116490.379</v>
      </c>
      <c r="G13" s="13">
        <v>116538.25</v>
      </c>
      <c r="H13" s="13">
        <v>122902.141</v>
      </c>
      <c r="I13" s="13">
        <v>125311.045</v>
      </c>
      <c r="J13" s="13">
        <v>125799.735</v>
      </c>
      <c r="K13" s="13">
        <v>126328.231</v>
      </c>
      <c r="L13" s="13">
        <v>127799.392</v>
      </c>
      <c r="M13" s="13">
        <v>122277.964</v>
      </c>
    </row>
    <row r="14" spans="1:13" ht="14.25">
      <c r="A14" s="3" t="s">
        <v>20</v>
      </c>
      <c r="B14" s="7">
        <v>118465.012</v>
      </c>
      <c r="C14" s="7">
        <v>137675.177</v>
      </c>
      <c r="D14" s="7">
        <v>148286.23599999998</v>
      </c>
      <c r="E14" s="7">
        <v>145811.407</v>
      </c>
      <c r="F14" s="7">
        <v>138295.988</v>
      </c>
      <c r="G14" s="13">
        <v>140334.318</v>
      </c>
      <c r="H14" s="13">
        <v>148044.67</v>
      </c>
      <c r="I14" s="13">
        <v>162911.02599999998</v>
      </c>
      <c r="J14" s="13">
        <v>174834.628</v>
      </c>
      <c r="K14" s="13">
        <v>212672.26599999997</v>
      </c>
      <c r="L14" s="13">
        <v>211269.022</v>
      </c>
      <c r="M14" s="13">
        <v>157239.74099999998</v>
      </c>
    </row>
    <row r="15" spans="1:13" ht="26.25">
      <c r="A15" s="16" t="s">
        <v>47</v>
      </c>
      <c r="B15" s="5">
        <v>417604.536</v>
      </c>
      <c r="C15" s="5">
        <v>436561.132</v>
      </c>
      <c r="D15" s="5">
        <v>462077.443</v>
      </c>
      <c r="E15" s="5">
        <v>512537.514</v>
      </c>
      <c r="F15" s="5">
        <v>523686.079</v>
      </c>
      <c r="G15" s="11">
        <v>547939.554</v>
      </c>
      <c r="H15" s="11">
        <f>+H17+H18+H19</f>
        <v>549196.987</v>
      </c>
      <c r="I15" s="11">
        <f>+I17+I18+I19</f>
        <v>530393.612</v>
      </c>
      <c r="J15" s="11">
        <f>+J17+J18+J19</f>
        <v>524939.618</v>
      </c>
      <c r="K15" s="11">
        <f>+K17+K18+K19</f>
        <v>545227.253</v>
      </c>
      <c r="L15" s="11">
        <f>+L17+L18+L19</f>
        <v>508793.176</v>
      </c>
      <c r="M15" s="11">
        <v>392403.56200000003</v>
      </c>
    </row>
    <row r="16" spans="1:13" ht="14.2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4.2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25601.925</v>
      </c>
      <c r="I17" s="14">
        <v>23943.895</v>
      </c>
      <c r="J17" s="14">
        <v>23943.895</v>
      </c>
      <c r="K17" s="14">
        <v>23373.435</v>
      </c>
      <c r="L17" s="14">
        <v>22656.792</v>
      </c>
      <c r="M17" s="14">
        <v>0</v>
      </c>
    </row>
    <row r="18" spans="1:13" ht="14.25">
      <c r="A18" s="3" t="s">
        <v>19</v>
      </c>
      <c r="B18" s="7">
        <v>62493.009</v>
      </c>
      <c r="C18" s="7">
        <v>63115.273</v>
      </c>
      <c r="D18" s="7">
        <v>63331.596</v>
      </c>
      <c r="E18" s="7">
        <v>63505.978</v>
      </c>
      <c r="F18" s="7">
        <v>63502.308</v>
      </c>
      <c r="G18" s="13">
        <v>63498.732</v>
      </c>
      <c r="H18" s="13">
        <v>25447.318</v>
      </c>
      <c r="I18" s="13">
        <v>24724.573</v>
      </c>
      <c r="J18" s="13">
        <v>24722.554</v>
      </c>
      <c r="K18" s="13">
        <v>24439.702</v>
      </c>
      <c r="L18" s="13">
        <v>23677.499</v>
      </c>
      <c r="M18" s="13">
        <v>26998.889</v>
      </c>
    </row>
    <row r="19" spans="1:13" ht="14.25">
      <c r="A19" s="3" t="s">
        <v>20</v>
      </c>
      <c r="B19" s="7">
        <v>355111.527</v>
      </c>
      <c r="C19" s="7">
        <v>373445.859</v>
      </c>
      <c r="D19" s="7">
        <v>398745.847</v>
      </c>
      <c r="E19" s="7">
        <v>449031.536</v>
      </c>
      <c r="F19" s="7">
        <v>460183.771</v>
      </c>
      <c r="G19" s="13">
        <v>484440.82200000004</v>
      </c>
      <c r="H19" s="13">
        <v>498147.744</v>
      </c>
      <c r="I19" s="13">
        <v>481725.144</v>
      </c>
      <c r="J19" s="13">
        <v>476273.16900000005</v>
      </c>
      <c r="K19" s="13">
        <v>497414.116</v>
      </c>
      <c r="L19" s="13">
        <v>462458.885</v>
      </c>
      <c r="M19" s="13">
        <v>365404.673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v>631807</v>
      </c>
      <c r="C5" s="5">
        <v>626752</v>
      </c>
      <c r="D5" s="5">
        <v>641176</v>
      </c>
      <c r="E5" s="5">
        <v>671890</v>
      </c>
      <c r="F5" s="5">
        <v>628923</v>
      </c>
      <c r="G5" s="11">
        <v>628628</v>
      </c>
      <c r="H5" s="11">
        <v>643039</v>
      </c>
      <c r="I5" s="11">
        <v>675012</v>
      </c>
      <c r="J5" s="11">
        <v>592396</v>
      </c>
      <c r="K5" s="11">
        <v>609758</v>
      </c>
      <c r="L5" s="11">
        <v>633926</v>
      </c>
      <c r="M5" s="11">
        <v>633096.754</v>
      </c>
    </row>
    <row r="6" spans="1:13" ht="14.2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" t="s">
        <v>18</v>
      </c>
      <c r="B7" s="7">
        <v>299</v>
      </c>
      <c r="C7" s="7">
        <v>299</v>
      </c>
      <c r="D7" s="7">
        <v>299</v>
      </c>
      <c r="E7" s="7">
        <v>299</v>
      </c>
      <c r="F7" s="7">
        <v>299</v>
      </c>
      <c r="G7" s="13">
        <v>299</v>
      </c>
      <c r="H7" s="13">
        <v>299</v>
      </c>
      <c r="I7" s="13">
        <v>299</v>
      </c>
      <c r="J7" s="13">
        <v>299</v>
      </c>
      <c r="K7" s="13">
        <v>299</v>
      </c>
      <c r="L7" s="13">
        <v>299</v>
      </c>
      <c r="M7" s="13">
        <v>0</v>
      </c>
    </row>
    <row r="8" spans="1:13" ht="14.25">
      <c r="A8" s="3" t="s">
        <v>19</v>
      </c>
      <c r="B8" s="7">
        <v>223074</v>
      </c>
      <c r="C8" s="7">
        <v>178843</v>
      </c>
      <c r="D8" s="7">
        <v>173347</v>
      </c>
      <c r="E8" s="7">
        <v>173673</v>
      </c>
      <c r="F8" s="7">
        <v>174822</v>
      </c>
      <c r="G8" s="13">
        <v>169990</v>
      </c>
      <c r="H8" s="13">
        <v>163393</v>
      </c>
      <c r="I8" s="13">
        <v>167862</v>
      </c>
      <c r="J8" s="13">
        <v>172552</v>
      </c>
      <c r="K8" s="13">
        <v>174414</v>
      </c>
      <c r="L8" s="13">
        <v>177071</v>
      </c>
      <c r="M8" s="13">
        <v>178397.198</v>
      </c>
    </row>
    <row r="9" spans="1:13" ht="14.25">
      <c r="A9" s="3" t="s">
        <v>20</v>
      </c>
      <c r="B9" s="7">
        <v>408434</v>
      </c>
      <c r="C9" s="7">
        <v>447610</v>
      </c>
      <c r="D9" s="7">
        <v>467530</v>
      </c>
      <c r="E9" s="7">
        <v>497918</v>
      </c>
      <c r="F9" s="7">
        <v>453802</v>
      </c>
      <c r="G9" s="13">
        <v>458339</v>
      </c>
      <c r="H9" s="13">
        <v>479347</v>
      </c>
      <c r="I9" s="13">
        <v>506851</v>
      </c>
      <c r="J9" s="13">
        <v>419545</v>
      </c>
      <c r="K9" s="13">
        <v>435045</v>
      </c>
      <c r="L9" s="13">
        <v>456556</v>
      </c>
      <c r="M9" s="13">
        <v>454699.556</v>
      </c>
    </row>
    <row r="10" spans="1:13" ht="26.25">
      <c r="A10" s="16" t="s">
        <v>48</v>
      </c>
      <c r="B10" s="5">
        <v>128470</v>
      </c>
      <c r="C10" s="5">
        <v>150031</v>
      </c>
      <c r="D10" s="5">
        <v>149333</v>
      </c>
      <c r="E10" s="5">
        <v>170930</v>
      </c>
      <c r="F10" s="5">
        <v>167857</v>
      </c>
      <c r="G10" s="11">
        <v>165775</v>
      </c>
      <c r="H10" s="11">
        <v>168807</v>
      </c>
      <c r="I10" s="11">
        <v>167243</v>
      </c>
      <c r="J10" s="11">
        <v>158679</v>
      </c>
      <c r="K10" s="11">
        <v>161869</v>
      </c>
      <c r="L10" s="11">
        <v>167566</v>
      </c>
      <c r="M10" s="11">
        <v>235579.312</v>
      </c>
    </row>
    <row r="11" spans="1:13" ht="14.2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4.25">
      <c r="A12" s="3" t="s">
        <v>18</v>
      </c>
      <c r="B12" s="7">
        <v>299</v>
      </c>
      <c r="C12" s="7">
        <v>299</v>
      </c>
      <c r="D12" s="7">
        <v>299</v>
      </c>
      <c r="E12" s="7">
        <v>299</v>
      </c>
      <c r="F12" s="7">
        <v>299</v>
      </c>
      <c r="G12" s="13">
        <v>299</v>
      </c>
      <c r="H12" s="13">
        <v>299</v>
      </c>
      <c r="I12" s="13">
        <v>299</v>
      </c>
      <c r="J12" s="13">
        <v>299</v>
      </c>
      <c r="K12" s="13">
        <v>299</v>
      </c>
      <c r="L12" s="13">
        <v>299</v>
      </c>
      <c r="M12" s="13">
        <v>0</v>
      </c>
    </row>
    <row r="13" spans="1:13" ht="14.25">
      <c r="A13" s="3" t="s">
        <v>19</v>
      </c>
      <c r="B13" s="7">
        <v>17859</v>
      </c>
      <c r="C13" s="7">
        <v>24173</v>
      </c>
      <c r="D13" s="7">
        <v>25654</v>
      </c>
      <c r="E13" s="7">
        <v>41534</v>
      </c>
      <c r="F13" s="7">
        <v>41633</v>
      </c>
      <c r="G13" s="13">
        <v>42122</v>
      </c>
      <c r="H13" s="13">
        <v>35142</v>
      </c>
      <c r="I13" s="13">
        <v>33956</v>
      </c>
      <c r="J13" s="13">
        <v>34904</v>
      </c>
      <c r="K13" s="13">
        <v>35479</v>
      </c>
      <c r="L13" s="13">
        <v>36081</v>
      </c>
      <c r="M13" s="13">
        <v>116127.051</v>
      </c>
    </row>
    <row r="14" spans="1:13" ht="14.25">
      <c r="A14" s="3" t="s">
        <v>20</v>
      </c>
      <c r="B14" s="7">
        <v>110312</v>
      </c>
      <c r="C14" s="7">
        <v>125559</v>
      </c>
      <c r="D14" s="7">
        <v>123380</v>
      </c>
      <c r="E14" s="7">
        <v>129097</v>
      </c>
      <c r="F14" s="7">
        <v>125925</v>
      </c>
      <c r="G14" s="13">
        <v>123354</v>
      </c>
      <c r="H14" s="13">
        <v>133366</v>
      </c>
      <c r="I14" s="13">
        <v>132988</v>
      </c>
      <c r="J14" s="13">
        <v>123476</v>
      </c>
      <c r="K14" s="13">
        <v>126091</v>
      </c>
      <c r="L14" s="13">
        <v>131186</v>
      </c>
      <c r="M14" s="13">
        <v>119452.261</v>
      </c>
    </row>
    <row r="15" spans="1:13" ht="26.25">
      <c r="A15" s="16" t="s">
        <v>47</v>
      </c>
      <c r="B15" s="5">
        <v>503337</v>
      </c>
      <c r="C15" s="5">
        <v>476721</v>
      </c>
      <c r="D15" s="5">
        <v>491843</v>
      </c>
      <c r="E15" s="5">
        <v>500960</v>
      </c>
      <c r="F15" s="5">
        <v>461066</v>
      </c>
      <c r="G15" s="11">
        <v>462853</v>
      </c>
      <c r="H15" s="11">
        <v>474232</v>
      </c>
      <c r="I15" s="11">
        <v>507769</v>
      </c>
      <c r="J15" s="11">
        <v>433717</v>
      </c>
      <c r="K15" s="11">
        <v>447889</v>
      </c>
      <c r="L15" s="11">
        <v>466360</v>
      </c>
      <c r="M15" s="11">
        <v>397517.442</v>
      </c>
    </row>
    <row r="16" spans="1:13" ht="14.2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4.2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4.25">
      <c r="A18" s="3" t="s">
        <v>19</v>
      </c>
      <c r="B18" s="7">
        <v>205215</v>
      </c>
      <c r="C18" s="7">
        <v>154670</v>
      </c>
      <c r="D18" s="7">
        <v>147693</v>
      </c>
      <c r="E18" s="7">
        <v>132139</v>
      </c>
      <c r="F18" s="7">
        <v>133189</v>
      </c>
      <c r="G18" s="13">
        <v>127868</v>
      </c>
      <c r="H18" s="13">
        <v>128251</v>
      </c>
      <c r="I18" s="13">
        <v>133906</v>
      </c>
      <c r="J18" s="13">
        <v>137648</v>
      </c>
      <c r="K18" s="13">
        <v>138935</v>
      </c>
      <c r="L18" s="13">
        <v>140990</v>
      </c>
      <c r="M18" s="13">
        <v>62270.147</v>
      </c>
    </row>
    <row r="19" spans="1:13" ht="14.25">
      <c r="A19" s="3" t="s">
        <v>20</v>
      </c>
      <c r="B19" s="7">
        <v>298122</v>
      </c>
      <c r="C19" s="7">
        <v>322051</v>
      </c>
      <c r="D19" s="7">
        <v>344150</v>
      </c>
      <c r="E19" s="7">
        <v>368821</v>
      </c>
      <c r="F19" s="7">
        <v>327877</v>
      </c>
      <c r="G19" s="13">
        <v>334985</v>
      </c>
      <c r="H19" s="13">
        <v>345981</v>
      </c>
      <c r="I19" s="13">
        <v>373863</v>
      </c>
      <c r="J19" s="13">
        <v>296069</v>
      </c>
      <c r="K19" s="13">
        <v>308954</v>
      </c>
      <c r="L19" s="13">
        <v>325370</v>
      </c>
      <c r="M19" s="13">
        <v>335247.295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75" zoomScalePageLayoutView="0" workbookViewId="0" topLeftCell="A1">
      <selection activeCell="A10" sqref="A10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12</v>
      </c>
      <c r="C4" s="4" t="s">
        <v>13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v>411781</v>
      </c>
      <c r="C5" s="5">
        <v>439966</v>
      </c>
      <c r="D5" s="5">
        <v>559172</v>
      </c>
      <c r="E5" s="5">
        <v>573003</v>
      </c>
      <c r="F5" s="5">
        <v>588259</v>
      </c>
      <c r="G5" s="11">
        <v>592592</v>
      </c>
      <c r="H5" s="11">
        <v>658277</v>
      </c>
      <c r="I5" s="11">
        <v>668832</v>
      </c>
      <c r="J5" s="11">
        <v>688987</v>
      </c>
      <c r="K5" s="11">
        <v>699559</v>
      </c>
      <c r="L5" s="11">
        <v>735854</v>
      </c>
      <c r="M5" s="11">
        <v>691189</v>
      </c>
    </row>
    <row r="6" spans="1:13" ht="14.2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" t="s">
        <v>18</v>
      </c>
      <c r="B7" s="7">
        <v>133725</v>
      </c>
      <c r="C7" s="7">
        <v>133725</v>
      </c>
      <c r="D7" s="7">
        <v>133725</v>
      </c>
      <c r="E7" s="7">
        <v>130725</v>
      </c>
      <c r="F7" s="7">
        <v>130725</v>
      </c>
      <c r="G7" s="13">
        <v>130725</v>
      </c>
      <c r="H7" s="13">
        <v>89741</v>
      </c>
      <c r="I7" s="13">
        <v>89741</v>
      </c>
      <c r="J7" s="13">
        <v>89741</v>
      </c>
      <c r="K7" s="13">
        <v>89741</v>
      </c>
      <c r="L7" s="13">
        <v>89741</v>
      </c>
      <c r="M7" s="13">
        <v>89741</v>
      </c>
    </row>
    <row r="8" spans="1:13" ht="14.25">
      <c r="A8" s="3" t="s">
        <v>19</v>
      </c>
      <c r="B8" s="7">
        <v>3114</v>
      </c>
      <c r="C8" s="7">
        <v>12305</v>
      </c>
      <c r="D8" s="7">
        <v>114557</v>
      </c>
      <c r="E8" s="7">
        <v>114479</v>
      </c>
      <c r="F8" s="7">
        <v>114895</v>
      </c>
      <c r="G8" s="13">
        <v>115648</v>
      </c>
      <c r="H8" s="13">
        <v>193518</v>
      </c>
      <c r="I8" s="13">
        <v>193539</v>
      </c>
      <c r="J8" s="13">
        <v>195509</v>
      </c>
      <c r="K8" s="13">
        <v>196168</v>
      </c>
      <c r="L8" s="13">
        <v>203278</v>
      </c>
      <c r="M8" s="13">
        <v>214107</v>
      </c>
    </row>
    <row r="9" spans="1:13" ht="14.25">
      <c r="A9" s="3" t="s">
        <v>20</v>
      </c>
      <c r="B9" s="7">
        <v>274942</v>
      </c>
      <c r="C9" s="7">
        <v>293936</v>
      </c>
      <c r="D9" s="7">
        <v>310890</v>
      </c>
      <c r="E9" s="7">
        <v>327799</v>
      </c>
      <c r="F9" s="7">
        <v>342639</v>
      </c>
      <c r="G9" s="13">
        <v>346219</v>
      </c>
      <c r="H9" s="13">
        <v>375018</v>
      </c>
      <c r="I9" s="13">
        <v>385552</v>
      </c>
      <c r="J9" s="13">
        <v>403737</v>
      </c>
      <c r="K9" s="13">
        <v>413650</v>
      </c>
      <c r="L9" s="13">
        <v>442835</v>
      </c>
      <c r="M9" s="13">
        <v>387341</v>
      </c>
    </row>
    <row r="10" spans="1:13" ht="26.25">
      <c r="A10" s="16" t="s">
        <v>48</v>
      </c>
      <c r="B10" s="5">
        <v>197482</v>
      </c>
      <c r="C10" s="5">
        <v>215617</v>
      </c>
      <c r="D10" s="5">
        <v>219079</v>
      </c>
      <c r="E10" s="5">
        <v>215960</v>
      </c>
      <c r="F10" s="5">
        <v>214902</v>
      </c>
      <c r="G10" s="11">
        <v>213806</v>
      </c>
      <c r="H10" s="11">
        <v>176047</v>
      </c>
      <c r="I10" s="11">
        <v>179826</v>
      </c>
      <c r="J10" s="11">
        <v>186834</v>
      </c>
      <c r="K10" s="11">
        <v>195482</v>
      </c>
      <c r="L10" s="11">
        <v>197979</v>
      </c>
      <c r="M10" s="11">
        <v>199313</v>
      </c>
    </row>
    <row r="11" spans="1:13" ht="14.2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4.25">
      <c r="A12" s="3" t="s">
        <v>18</v>
      </c>
      <c r="B12" s="7">
        <v>133725</v>
      </c>
      <c r="C12" s="7">
        <v>133725</v>
      </c>
      <c r="D12" s="7">
        <v>133725</v>
      </c>
      <c r="E12" s="7">
        <v>130725</v>
      </c>
      <c r="F12" s="7">
        <v>130725</v>
      </c>
      <c r="G12" s="13">
        <v>130725</v>
      </c>
      <c r="H12" s="13">
        <v>89741</v>
      </c>
      <c r="I12" s="13">
        <v>89741</v>
      </c>
      <c r="J12" s="13">
        <v>89741</v>
      </c>
      <c r="K12" s="13">
        <v>89741</v>
      </c>
      <c r="L12" s="13">
        <v>89741</v>
      </c>
      <c r="M12" s="13">
        <v>89741</v>
      </c>
    </row>
    <row r="13" spans="1:13" ht="14.25">
      <c r="A13" s="3" t="s">
        <v>19</v>
      </c>
      <c r="B13" s="7">
        <v>3114</v>
      </c>
      <c r="C13" s="7">
        <v>12305</v>
      </c>
      <c r="D13" s="7">
        <v>12732</v>
      </c>
      <c r="E13" s="7">
        <v>12719</v>
      </c>
      <c r="F13" s="7">
        <v>13152</v>
      </c>
      <c r="G13" s="13">
        <v>13329</v>
      </c>
      <c r="H13" s="13">
        <v>13054</v>
      </c>
      <c r="I13" s="13">
        <v>13075</v>
      </c>
      <c r="J13" s="13">
        <v>13078</v>
      </c>
      <c r="K13" s="13">
        <v>15072</v>
      </c>
      <c r="L13" s="13">
        <v>15121</v>
      </c>
      <c r="M13" s="13">
        <v>17156</v>
      </c>
    </row>
    <row r="14" spans="1:13" ht="14.25">
      <c r="A14" s="3" t="s">
        <v>20</v>
      </c>
      <c r="B14" s="7">
        <v>60643</v>
      </c>
      <c r="C14" s="7">
        <v>69587</v>
      </c>
      <c r="D14" s="7">
        <v>72622</v>
      </c>
      <c r="E14" s="7">
        <v>72516</v>
      </c>
      <c r="F14" s="7">
        <v>71025</v>
      </c>
      <c r="G14" s="13">
        <v>69752</v>
      </c>
      <c r="H14" s="13">
        <v>73252</v>
      </c>
      <c r="I14" s="13">
        <v>77010</v>
      </c>
      <c r="J14" s="13">
        <v>84015</v>
      </c>
      <c r="K14" s="13">
        <v>90669</v>
      </c>
      <c r="L14" s="13">
        <v>93117</v>
      </c>
      <c r="M14" s="13">
        <v>92416</v>
      </c>
    </row>
    <row r="15" spans="1:13" ht="26.25">
      <c r="A15" s="16" t="s">
        <v>47</v>
      </c>
      <c r="B15" s="5">
        <v>214299</v>
      </c>
      <c r="C15" s="5">
        <v>224349</v>
      </c>
      <c r="D15" s="5">
        <v>340093</v>
      </c>
      <c r="E15" s="5">
        <v>357043</v>
      </c>
      <c r="F15" s="5">
        <v>373357</v>
      </c>
      <c r="G15" s="11">
        <v>378786</v>
      </c>
      <c r="H15" s="11">
        <v>482230</v>
      </c>
      <c r="I15" s="11">
        <v>489006</v>
      </c>
      <c r="J15" s="11">
        <v>502153</v>
      </c>
      <c r="K15" s="11">
        <v>504077</v>
      </c>
      <c r="L15" s="11">
        <v>537875</v>
      </c>
      <c r="M15" s="11">
        <v>491876</v>
      </c>
    </row>
    <row r="16" spans="1:13" ht="14.2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4.25">
      <c r="A17" s="3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4.25">
      <c r="A18" s="3" t="s">
        <v>19</v>
      </c>
      <c r="B18" s="7">
        <v>0</v>
      </c>
      <c r="C18" s="7">
        <v>0</v>
      </c>
      <c r="D18" s="7">
        <v>101825</v>
      </c>
      <c r="E18" s="7">
        <v>101760</v>
      </c>
      <c r="F18" s="7">
        <v>101743</v>
      </c>
      <c r="G18" s="13">
        <v>102319</v>
      </c>
      <c r="H18" s="13">
        <v>180464</v>
      </c>
      <c r="I18" s="13">
        <v>180464</v>
      </c>
      <c r="J18" s="13">
        <v>182431</v>
      </c>
      <c r="K18" s="13">
        <v>181096</v>
      </c>
      <c r="L18" s="13">
        <v>188157</v>
      </c>
      <c r="M18" s="13">
        <v>196951</v>
      </c>
    </row>
    <row r="19" spans="1:13" ht="14.25">
      <c r="A19" s="3" t="s">
        <v>20</v>
      </c>
      <c r="B19" s="7">
        <v>214299</v>
      </c>
      <c r="C19" s="7">
        <v>224349</v>
      </c>
      <c r="D19" s="7">
        <v>238268</v>
      </c>
      <c r="E19" s="7">
        <v>255283</v>
      </c>
      <c r="F19" s="7">
        <v>271614</v>
      </c>
      <c r="G19" s="13">
        <v>276467</v>
      </c>
      <c r="H19" s="13">
        <v>301766</v>
      </c>
      <c r="I19" s="13">
        <v>308542</v>
      </c>
      <c r="J19" s="13">
        <v>319722</v>
      </c>
      <c r="K19" s="13">
        <v>322981</v>
      </c>
      <c r="L19" s="13">
        <v>349718</v>
      </c>
      <c r="M19" s="13">
        <v>294925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SheetLayoutView="100" zoomScalePageLayoutView="0" workbookViewId="0" topLeftCell="A1">
      <selection activeCell="C9" sqref="C9"/>
    </sheetView>
  </sheetViews>
  <sheetFormatPr defaultColWidth="9.125" defaultRowHeight="12.75"/>
  <cols>
    <col min="1" max="1" width="29.00390625" style="17" customWidth="1"/>
    <col min="2" max="2" width="10.75390625" style="17" customWidth="1"/>
    <col min="3" max="3" width="9.50390625" style="17" bestFit="1" customWidth="1"/>
    <col min="4" max="4" width="10.25390625" style="17" customWidth="1"/>
    <col min="5" max="5" width="9.875" style="17" bestFit="1" customWidth="1"/>
    <col min="6" max="6" width="11.00390625" style="17" customWidth="1"/>
    <col min="7" max="12" width="9.875" style="17" bestFit="1" customWidth="1"/>
    <col min="13" max="13" width="11.75390625" style="17" customWidth="1"/>
    <col min="14" max="16384" width="9.125" style="17" customWidth="1"/>
  </cols>
  <sheetData>
    <row r="1" spans="1:13" ht="16.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15" t="s">
        <v>15</v>
      </c>
      <c r="B3" s="66">
        <v>2000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2"/>
    </row>
    <row r="4" spans="1:13" ht="14.25">
      <c r="A4" s="15" t="s">
        <v>16</v>
      </c>
      <c r="B4" s="4" t="s">
        <v>0</v>
      </c>
      <c r="C4" s="4" t="s">
        <v>1</v>
      </c>
      <c r="D4" s="4" t="s">
        <v>2</v>
      </c>
      <c r="E4" s="4" t="s">
        <v>4</v>
      </c>
      <c r="F4" s="4" t="s">
        <v>3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26.25">
      <c r="A5" s="16" t="s">
        <v>46</v>
      </c>
      <c r="B5" s="5">
        <v>314924</v>
      </c>
      <c r="C5" s="5">
        <v>329765</v>
      </c>
      <c r="D5" s="5">
        <v>337638</v>
      </c>
      <c r="E5" s="5">
        <v>349033</v>
      </c>
      <c r="F5" s="5">
        <v>357207</v>
      </c>
      <c r="G5" s="11">
        <v>345650</v>
      </c>
      <c r="H5" s="11">
        <v>381108</v>
      </c>
      <c r="I5" s="11">
        <v>390865</v>
      </c>
      <c r="J5" s="11">
        <v>420723</v>
      </c>
      <c r="K5" s="11">
        <v>405548</v>
      </c>
      <c r="L5" s="11">
        <v>388082</v>
      </c>
      <c r="M5" s="11">
        <v>377418</v>
      </c>
    </row>
    <row r="6" spans="1:13" ht="14.25">
      <c r="A6" s="1" t="s">
        <v>17</v>
      </c>
      <c r="B6" s="6"/>
      <c r="C6" s="6"/>
      <c r="D6" s="6"/>
      <c r="E6" s="6"/>
      <c r="F6" s="6"/>
      <c r="G6" s="12"/>
      <c r="H6" s="12"/>
      <c r="I6" s="12"/>
      <c r="J6" s="12"/>
      <c r="K6" s="12"/>
      <c r="L6" s="12"/>
      <c r="M6" s="12"/>
    </row>
    <row r="7" spans="1:13" ht="14.25">
      <c r="A7" s="2" t="s">
        <v>18</v>
      </c>
      <c r="B7" s="7">
        <v>155417</v>
      </c>
      <c r="C7" s="7">
        <v>160243</v>
      </c>
      <c r="D7" s="7">
        <v>164389</v>
      </c>
      <c r="E7" s="7">
        <v>163014</v>
      </c>
      <c r="F7" s="7">
        <v>168521</v>
      </c>
      <c r="G7" s="13">
        <v>168749</v>
      </c>
      <c r="H7" s="13">
        <v>183775</v>
      </c>
      <c r="I7" s="13">
        <v>188057</v>
      </c>
      <c r="J7" s="13">
        <v>194950</v>
      </c>
      <c r="K7" s="13">
        <v>154949</v>
      </c>
      <c r="L7" s="13">
        <v>131752</v>
      </c>
      <c r="M7" s="13">
        <v>131752</v>
      </c>
    </row>
    <row r="8" spans="1:13" ht="14.25">
      <c r="A8" s="3" t="s">
        <v>19</v>
      </c>
      <c r="B8" s="7">
        <v>13289</v>
      </c>
      <c r="C8" s="7">
        <v>13741</v>
      </c>
      <c r="D8" s="7">
        <v>13872</v>
      </c>
      <c r="E8" s="7">
        <v>24684</v>
      </c>
      <c r="F8" s="7">
        <v>25808</v>
      </c>
      <c r="G8" s="13">
        <v>25621</v>
      </c>
      <c r="H8" s="13">
        <v>27546</v>
      </c>
      <c r="I8" s="13">
        <v>27518</v>
      </c>
      <c r="J8" s="13">
        <v>28325</v>
      </c>
      <c r="K8" s="13">
        <v>2855</v>
      </c>
      <c r="L8" s="13">
        <v>3154</v>
      </c>
      <c r="M8" s="13">
        <v>3121</v>
      </c>
    </row>
    <row r="9" spans="1:13" ht="14.25">
      <c r="A9" s="3" t="s">
        <v>20</v>
      </c>
      <c r="B9" s="7">
        <v>146218</v>
      </c>
      <c r="C9" s="7">
        <v>155781</v>
      </c>
      <c r="D9" s="7">
        <v>159377</v>
      </c>
      <c r="E9" s="7">
        <v>161335</v>
      </c>
      <c r="F9" s="7">
        <v>162878</v>
      </c>
      <c r="G9" s="13">
        <v>151280</v>
      </c>
      <c r="H9" s="13">
        <v>169787</v>
      </c>
      <c r="I9" s="13">
        <v>175290</v>
      </c>
      <c r="J9" s="13">
        <v>197448</v>
      </c>
      <c r="K9" s="13">
        <v>247744</v>
      </c>
      <c r="L9" s="13">
        <v>253176</v>
      </c>
      <c r="M9" s="13">
        <v>242545</v>
      </c>
    </row>
    <row r="10" spans="1:13" ht="26.25">
      <c r="A10" s="16" t="s">
        <v>48</v>
      </c>
      <c r="B10" s="5">
        <v>91782</v>
      </c>
      <c r="C10" s="5">
        <v>92097</v>
      </c>
      <c r="D10" s="5">
        <v>93899</v>
      </c>
      <c r="E10" s="5">
        <v>105498</v>
      </c>
      <c r="F10" s="5">
        <v>107678</v>
      </c>
      <c r="G10" s="11">
        <v>107556</v>
      </c>
      <c r="H10" s="11">
        <v>109148</v>
      </c>
      <c r="I10" s="11">
        <v>116030</v>
      </c>
      <c r="J10" s="11">
        <v>123222</v>
      </c>
      <c r="K10" s="11">
        <v>222132</v>
      </c>
      <c r="L10" s="11">
        <v>199949</v>
      </c>
      <c r="M10" s="11">
        <v>194634</v>
      </c>
    </row>
    <row r="11" spans="1:13" ht="14.25">
      <c r="A11" s="2" t="s">
        <v>17</v>
      </c>
      <c r="B11" s="7"/>
      <c r="C11" s="7"/>
      <c r="D11" s="7"/>
      <c r="E11" s="7"/>
      <c r="F11" s="7"/>
      <c r="G11" s="13"/>
      <c r="H11" s="13"/>
      <c r="I11" s="13"/>
      <c r="J11" s="13"/>
      <c r="K11" s="13"/>
      <c r="L11" s="13"/>
      <c r="M11" s="13"/>
    </row>
    <row r="12" spans="1:13" ht="14.25">
      <c r="A12" s="3" t="s">
        <v>18</v>
      </c>
      <c r="B12" s="7">
        <v>40936</v>
      </c>
      <c r="C12" s="7">
        <v>40936</v>
      </c>
      <c r="D12" s="7">
        <v>41393</v>
      </c>
      <c r="E12" s="7">
        <v>41393</v>
      </c>
      <c r="F12" s="7">
        <v>41393</v>
      </c>
      <c r="G12" s="13">
        <v>41393</v>
      </c>
      <c r="H12" s="13">
        <v>41393</v>
      </c>
      <c r="I12" s="13">
        <v>41393</v>
      </c>
      <c r="J12" s="13">
        <v>41393</v>
      </c>
      <c r="K12" s="13">
        <v>154949</v>
      </c>
      <c r="L12" s="13">
        <v>131752</v>
      </c>
      <c r="M12" s="13">
        <v>131752</v>
      </c>
    </row>
    <row r="13" spans="1:13" ht="14.25">
      <c r="A13" s="3" t="s">
        <v>19</v>
      </c>
      <c r="B13" s="7">
        <v>2049</v>
      </c>
      <c r="C13" s="7">
        <v>2227</v>
      </c>
      <c r="D13" s="7">
        <v>2167</v>
      </c>
      <c r="E13" s="7">
        <v>11622</v>
      </c>
      <c r="F13" s="7">
        <v>11805</v>
      </c>
      <c r="G13" s="13">
        <v>11598</v>
      </c>
      <c r="H13" s="13">
        <v>11885</v>
      </c>
      <c r="I13" s="13">
        <v>11923</v>
      </c>
      <c r="J13" s="13">
        <v>12020</v>
      </c>
      <c r="K13" s="13">
        <v>2855</v>
      </c>
      <c r="L13" s="13">
        <v>3154</v>
      </c>
      <c r="M13" s="13">
        <v>3121</v>
      </c>
    </row>
    <row r="14" spans="1:13" ht="14.25">
      <c r="A14" s="3" t="s">
        <v>20</v>
      </c>
      <c r="B14" s="7">
        <v>48797</v>
      </c>
      <c r="C14" s="7">
        <v>48934</v>
      </c>
      <c r="D14" s="7">
        <v>50339</v>
      </c>
      <c r="E14" s="7">
        <v>52483</v>
      </c>
      <c r="F14" s="7">
        <v>54480</v>
      </c>
      <c r="G14" s="13">
        <v>54565</v>
      </c>
      <c r="H14" s="13">
        <v>55870</v>
      </c>
      <c r="I14" s="13">
        <v>62714</v>
      </c>
      <c r="J14" s="13">
        <v>69809</v>
      </c>
      <c r="K14" s="13">
        <v>64328</v>
      </c>
      <c r="L14" s="13">
        <v>65043</v>
      </c>
      <c r="M14" s="13">
        <v>59761</v>
      </c>
    </row>
    <row r="15" spans="1:13" ht="26.25">
      <c r="A15" s="16" t="s">
        <v>47</v>
      </c>
      <c r="B15" s="5">
        <v>223142</v>
      </c>
      <c r="C15" s="5">
        <v>237668</v>
      </c>
      <c r="D15" s="5">
        <v>243739</v>
      </c>
      <c r="E15" s="5">
        <v>243535</v>
      </c>
      <c r="F15" s="5">
        <v>249529</v>
      </c>
      <c r="G15" s="11">
        <v>238094</v>
      </c>
      <c r="H15" s="11">
        <v>271960</v>
      </c>
      <c r="I15" s="11">
        <v>274835</v>
      </c>
      <c r="J15" s="11">
        <v>297501</v>
      </c>
      <c r="K15" s="11">
        <v>183416</v>
      </c>
      <c r="L15" s="11">
        <v>188133</v>
      </c>
      <c r="M15" s="11">
        <v>182784</v>
      </c>
    </row>
    <row r="16" spans="1:13" ht="14.25">
      <c r="A16" s="3" t="s">
        <v>17</v>
      </c>
      <c r="B16" s="7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</row>
    <row r="17" spans="1:13" ht="14.25">
      <c r="A17" s="3" t="s">
        <v>18</v>
      </c>
      <c r="B17" s="8">
        <v>114481</v>
      </c>
      <c r="C17" s="8">
        <v>119307</v>
      </c>
      <c r="D17" s="8">
        <v>122996</v>
      </c>
      <c r="E17" s="8">
        <v>121621</v>
      </c>
      <c r="F17" s="8">
        <v>127128</v>
      </c>
      <c r="G17" s="14">
        <v>127356</v>
      </c>
      <c r="H17" s="14">
        <v>142382</v>
      </c>
      <c r="I17" s="14">
        <v>146664</v>
      </c>
      <c r="J17" s="14">
        <v>153557</v>
      </c>
      <c r="K17" s="14">
        <v>0</v>
      </c>
      <c r="L17" s="14">
        <v>0</v>
      </c>
      <c r="M17" s="14">
        <v>0</v>
      </c>
    </row>
    <row r="18" spans="1:13" ht="14.25">
      <c r="A18" s="3" t="s">
        <v>19</v>
      </c>
      <c r="B18" s="7">
        <v>11240</v>
      </c>
      <c r="C18" s="7">
        <v>11514</v>
      </c>
      <c r="D18" s="7">
        <v>11705</v>
      </c>
      <c r="E18" s="7">
        <v>13062</v>
      </c>
      <c r="F18" s="7">
        <v>14003</v>
      </c>
      <c r="G18" s="13">
        <v>14023</v>
      </c>
      <c r="H18" s="13">
        <v>15661</v>
      </c>
      <c r="I18" s="13">
        <v>15595</v>
      </c>
      <c r="J18" s="13">
        <v>16305</v>
      </c>
      <c r="K18" s="13">
        <v>0</v>
      </c>
      <c r="L18" s="13">
        <v>0</v>
      </c>
      <c r="M18" s="13">
        <v>0</v>
      </c>
    </row>
    <row r="19" spans="1:13" ht="14.25">
      <c r="A19" s="3" t="s">
        <v>20</v>
      </c>
      <c r="B19" s="7">
        <v>97421</v>
      </c>
      <c r="C19" s="7">
        <v>106847</v>
      </c>
      <c r="D19" s="7">
        <v>109038</v>
      </c>
      <c r="E19" s="7">
        <v>108852</v>
      </c>
      <c r="F19" s="7">
        <v>108398</v>
      </c>
      <c r="G19" s="13">
        <v>96715</v>
      </c>
      <c r="H19" s="13">
        <v>113917</v>
      </c>
      <c r="I19" s="13">
        <v>112576</v>
      </c>
      <c r="J19" s="13">
        <v>127639</v>
      </c>
      <c r="K19" s="13">
        <v>183416</v>
      </c>
      <c r="L19" s="13">
        <v>188133</v>
      </c>
      <c r="M19" s="13">
        <v>182784</v>
      </c>
    </row>
  </sheetData>
  <sheetProtection/>
  <mergeCells count="3">
    <mergeCell ref="B3:M3"/>
    <mergeCell ref="A1:M1"/>
    <mergeCell ref="A2:M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125" defaultRowHeight="12.75"/>
  <cols>
    <col min="1" max="1" width="40.50390625" style="22" customWidth="1"/>
    <col min="2" max="2" width="10.50390625" style="22" customWidth="1"/>
    <col min="3" max="3" width="10.125" style="22" customWidth="1"/>
    <col min="4" max="4" width="9.875" style="22" customWidth="1"/>
    <col min="5" max="5" width="9.75390625" style="22" customWidth="1"/>
    <col min="6" max="6" width="9.50390625" style="22" customWidth="1"/>
    <col min="7" max="7" width="9.875" style="22" customWidth="1"/>
    <col min="8" max="8" width="11.50390625" style="22" customWidth="1"/>
    <col min="9" max="10" width="9.50390625" style="22" customWidth="1"/>
    <col min="11" max="12" width="9.87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125" style="22" customWidth="1"/>
  </cols>
  <sheetData>
    <row r="1" spans="2:4" ht="13.5" customHeight="1">
      <c r="B1" s="34"/>
      <c r="C1" s="34"/>
      <c r="D1" s="34"/>
    </row>
    <row r="2" spans="1:13" ht="61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7:13" ht="18" customHeight="1">
      <c r="G3" s="35"/>
      <c r="H3" s="35"/>
      <c r="L3" s="44" t="s">
        <v>50</v>
      </c>
      <c r="M3" s="44"/>
    </row>
    <row r="4" spans="1:13" ht="18" customHeight="1">
      <c r="A4" s="33" t="s">
        <v>37</v>
      </c>
      <c r="B4" s="40">
        <v>2021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4.2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4.25">
      <c r="A6" s="16" t="s">
        <v>46</v>
      </c>
      <c r="B6" s="11">
        <f aca="true" t="shared" si="0" ref="B6:L6">B10+B14</f>
        <v>10997338.2785098</v>
      </c>
      <c r="C6" s="11">
        <f t="shared" si="0"/>
        <v>11238007.02642344</v>
      </c>
      <c r="D6" s="11">
        <f t="shared" si="0"/>
        <v>11219050.90299623</v>
      </c>
      <c r="E6" s="11">
        <f t="shared" si="0"/>
        <v>11601806.30142</v>
      </c>
      <c r="F6" s="11">
        <f t="shared" si="0"/>
        <v>10886545.46523714</v>
      </c>
      <c r="G6" s="11">
        <f t="shared" si="0"/>
        <v>11114386.83594056</v>
      </c>
      <c r="H6" s="11">
        <f t="shared" si="0"/>
        <v>11291509.434315633</v>
      </c>
      <c r="I6" s="11">
        <f t="shared" si="0"/>
        <v>11459796.642561238</v>
      </c>
      <c r="J6" s="11">
        <f t="shared" si="0"/>
        <v>11566033.357348057</v>
      </c>
      <c r="K6" s="11">
        <f t="shared" si="0"/>
        <v>11492393.879779438</v>
      </c>
      <c r="L6" s="11">
        <f t="shared" si="0"/>
        <v>11582511.030943815</v>
      </c>
      <c r="M6" s="11">
        <f>M10+M14</f>
        <v>12051118.38684334</v>
      </c>
    </row>
    <row r="7" spans="1:15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4.25">
      <c r="A8" s="25" t="s">
        <v>19</v>
      </c>
      <c r="B8" s="13">
        <f aca="true" t="shared" si="1" ref="B8:L9">B12+B16</f>
        <v>82645.7115</v>
      </c>
      <c r="C8" s="13">
        <f t="shared" si="1"/>
        <v>82488.91143</v>
      </c>
      <c r="D8" s="13">
        <f t="shared" si="1"/>
        <v>82256.96087</v>
      </c>
      <c r="E8" s="13">
        <f t="shared" si="1"/>
        <v>82057.87942</v>
      </c>
      <c r="F8" s="13">
        <f t="shared" si="1"/>
        <v>81915.10779000001</v>
      </c>
      <c r="G8" s="13">
        <f t="shared" si="1"/>
        <v>81752.68075</v>
      </c>
      <c r="H8" s="13">
        <f t="shared" si="1"/>
        <v>81554.28208000002</v>
      </c>
      <c r="I8" s="13">
        <f t="shared" si="1"/>
        <v>81382.90398</v>
      </c>
      <c r="J8" s="13">
        <f t="shared" si="1"/>
        <v>81204.08467</v>
      </c>
      <c r="K8" s="13">
        <f t="shared" si="1"/>
        <v>80993.64787</v>
      </c>
      <c r="L8" s="13">
        <f t="shared" si="1"/>
        <v>80882.43935000002</v>
      </c>
      <c r="M8" s="13">
        <f>M12+M16</f>
        <v>80760.17653</v>
      </c>
    </row>
    <row r="9" spans="1:15" ht="14.25">
      <c r="A9" s="25" t="s">
        <v>20</v>
      </c>
      <c r="B9" s="13">
        <f t="shared" si="1"/>
        <v>10914692.5670098</v>
      </c>
      <c r="C9" s="13">
        <f t="shared" si="1"/>
        <v>11155518.11499344</v>
      </c>
      <c r="D9" s="13">
        <f t="shared" si="1"/>
        <v>11136793.942126233</v>
      </c>
      <c r="E9" s="13">
        <f t="shared" si="1"/>
        <v>11519748.421999998</v>
      </c>
      <c r="F9" s="13">
        <f t="shared" si="1"/>
        <v>10804630.357447142</v>
      </c>
      <c r="G9" s="13">
        <f t="shared" si="1"/>
        <v>11032634.155190561</v>
      </c>
      <c r="H9" s="13">
        <f t="shared" si="1"/>
        <v>11209955.15223563</v>
      </c>
      <c r="I9" s="13">
        <f t="shared" si="1"/>
        <v>11378413.738581238</v>
      </c>
      <c r="J9" s="13">
        <f t="shared" si="1"/>
        <v>11484829.272678057</v>
      </c>
      <c r="K9" s="13">
        <f t="shared" si="1"/>
        <v>11411400.231909437</v>
      </c>
      <c r="L9" s="13">
        <f t="shared" si="1"/>
        <v>11501628.591593815</v>
      </c>
      <c r="M9" s="13">
        <f>M13+M17</f>
        <v>11970358.21031334</v>
      </c>
      <c r="O9" s="36"/>
    </row>
    <row r="10" spans="1:13" ht="14.25">
      <c r="A10" s="16" t="s">
        <v>48</v>
      </c>
      <c r="B10" s="11">
        <f>B12+B13</f>
        <v>6458416.81044415</v>
      </c>
      <c r="C10" s="11">
        <f aca="true" t="shared" si="2" ref="C10:H10">C12+C13</f>
        <v>6611164.96728185</v>
      </c>
      <c r="D10" s="11">
        <f t="shared" si="2"/>
        <v>6871936.807545922</v>
      </c>
      <c r="E10" s="11">
        <f t="shared" si="2"/>
        <v>7179329.91864864</v>
      </c>
      <c r="F10" s="11">
        <f t="shared" si="2"/>
        <v>7198989.576578741</v>
      </c>
      <c r="G10" s="11">
        <f t="shared" si="2"/>
        <v>7356759.692903145</v>
      </c>
      <c r="H10" s="11">
        <f t="shared" si="2"/>
        <v>7502151.776115321</v>
      </c>
      <c r="I10" s="11">
        <f>I12+I13</f>
        <v>7711871.43546465</v>
      </c>
      <c r="J10" s="11">
        <f>J12+J13</f>
        <v>7793004.668898294</v>
      </c>
      <c r="K10" s="11">
        <f>K12+K13</f>
        <v>7707612.80661001</v>
      </c>
      <c r="L10" s="11">
        <f>L12+L13</f>
        <v>7751298.071630079</v>
      </c>
      <c r="M10" s="11">
        <f>M12+M13</f>
        <v>8089459.75487001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82645.7115</v>
      </c>
      <c r="C12" s="13">
        <v>82488.91143</v>
      </c>
      <c r="D12" s="13">
        <v>82256.96087</v>
      </c>
      <c r="E12" s="13">
        <v>82057.87942</v>
      </c>
      <c r="F12" s="13">
        <v>81915.10779000001</v>
      </c>
      <c r="G12" s="13">
        <v>81752.68075</v>
      </c>
      <c r="H12" s="13">
        <v>81554.28208000002</v>
      </c>
      <c r="I12" s="13">
        <v>81382.90398</v>
      </c>
      <c r="J12" s="13">
        <v>81204.08467</v>
      </c>
      <c r="K12" s="13">
        <v>80993.64787</v>
      </c>
      <c r="L12" s="13">
        <v>80882.43935000002</v>
      </c>
      <c r="M12" s="13">
        <v>80760.17653</v>
      </c>
    </row>
    <row r="13" spans="1:14" ht="14.25">
      <c r="A13" s="25" t="s">
        <v>38</v>
      </c>
      <c r="B13" s="13">
        <v>6375771.09894415</v>
      </c>
      <c r="C13" s="13">
        <v>6528676.05585185</v>
      </c>
      <c r="D13" s="13">
        <v>6789679.846675922</v>
      </c>
      <c r="E13" s="13">
        <v>7097272.03922864</v>
      </c>
      <c r="F13" s="13">
        <v>7117074.468788741</v>
      </c>
      <c r="G13" s="13">
        <v>7275007.012153145</v>
      </c>
      <c r="H13" s="13">
        <v>7420597.49403532</v>
      </c>
      <c r="I13" s="13">
        <v>7630488.53148465</v>
      </c>
      <c r="J13" s="13">
        <v>7711800.584228294</v>
      </c>
      <c r="K13" s="13">
        <v>7626619.158740009</v>
      </c>
      <c r="L13" s="13">
        <v>7670415.63228008</v>
      </c>
      <c r="M13" s="13">
        <v>8008699.57834001</v>
      </c>
      <c r="N13" s="32"/>
    </row>
    <row r="14" spans="1:13" ht="14.25">
      <c r="A14" s="16" t="s">
        <v>47</v>
      </c>
      <c r="B14" s="11">
        <f>B16+B17</f>
        <v>4538921.46806565</v>
      </c>
      <c r="C14" s="11">
        <f aca="true" t="shared" si="3" ref="C14:H14">C16+C17</f>
        <v>4626842.05914159</v>
      </c>
      <c r="D14" s="11">
        <f t="shared" si="3"/>
        <v>4347114.09545031</v>
      </c>
      <c r="E14" s="11">
        <f t="shared" si="3"/>
        <v>4422476.38277136</v>
      </c>
      <c r="F14" s="11">
        <f t="shared" si="3"/>
        <v>3687555.8886584006</v>
      </c>
      <c r="G14" s="11">
        <f t="shared" si="3"/>
        <v>3757627.1430374156</v>
      </c>
      <c r="H14" s="11">
        <f t="shared" si="3"/>
        <v>3789357.6582003115</v>
      </c>
      <c r="I14" s="11">
        <f>I16+I17</f>
        <v>3747925.2070965883</v>
      </c>
      <c r="J14" s="11">
        <f>J16+J17</f>
        <v>3773028.688449763</v>
      </c>
      <c r="K14" s="11">
        <f>K16+K17</f>
        <v>3784781.0731694275</v>
      </c>
      <c r="L14" s="11">
        <f>L16+L17</f>
        <v>3831212.959313735</v>
      </c>
      <c r="M14" s="11">
        <f>M16+M17</f>
        <v>3961658.631973331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v>4538921.46806565</v>
      </c>
      <c r="C17" s="13">
        <v>4626842.05914159</v>
      </c>
      <c r="D17" s="13">
        <v>4347114.09545031</v>
      </c>
      <c r="E17" s="13">
        <v>4422476.38277136</v>
      </c>
      <c r="F17" s="13">
        <v>3687555.8886584006</v>
      </c>
      <c r="G17" s="13">
        <v>3757627.1430374156</v>
      </c>
      <c r="H17" s="13">
        <v>3789357.6582003115</v>
      </c>
      <c r="I17" s="13">
        <v>3747925.2070965883</v>
      </c>
      <c r="J17" s="13">
        <v>3773028.688449763</v>
      </c>
      <c r="K17" s="13">
        <v>3784781.0731694275</v>
      </c>
      <c r="L17" s="13">
        <v>3831212.959313735</v>
      </c>
      <c r="M17" s="13">
        <v>3961658.631973331</v>
      </c>
    </row>
    <row r="19" spans="5:12" ht="14.25">
      <c r="E19" s="32"/>
      <c r="H19" s="32"/>
      <c r="L19" s="32"/>
    </row>
    <row r="20" spans="2:12" ht="14.25">
      <c r="B20" s="37"/>
      <c r="C20" s="32"/>
      <c r="D20" s="32"/>
      <c r="G20" s="32"/>
      <c r="J20" s="32"/>
      <c r="L20" s="32"/>
    </row>
    <row r="21" spans="2:12" ht="14.25">
      <c r="B21" s="32"/>
      <c r="C21" s="32"/>
      <c r="E21" s="32"/>
      <c r="F21" s="32"/>
      <c r="H21" s="32"/>
      <c r="J21" s="32"/>
      <c r="L21" s="32"/>
    </row>
    <row r="22" spans="9:13" ht="14.25">
      <c r="I22" s="32"/>
      <c r="M22" s="32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125" defaultRowHeight="12.75"/>
  <cols>
    <col min="1" max="1" width="40.50390625" style="22" customWidth="1"/>
    <col min="2" max="2" width="10.50390625" style="22" customWidth="1"/>
    <col min="3" max="3" width="10.125" style="22" customWidth="1"/>
    <col min="4" max="4" width="9.875" style="22" customWidth="1"/>
    <col min="5" max="5" width="9.75390625" style="22" customWidth="1"/>
    <col min="6" max="6" width="9.50390625" style="22" customWidth="1"/>
    <col min="7" max="7" width="9.875" style="22" customWidth="1"/>
    <col min="8" max="8" width="10.125" style="22" customWidth="1"/>
    <col min="9" max="10" width="9.50390625" style="22" customWidth="1"/>
    <col min="11" max="11" width="11.0039062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5" width="16.50390625" style="22" customWidth="1"/>
    <col min="16" max="16384" width="9.125" style="22" customWidth="1"/>
  </cols>
  <sheetData>
    <row r="1" spans="2:4" ht="13.5" customHeight="1">
      <c r="B1" s="34"/>
      <c r="C1" s="34"/>
      <c r="D1" s="34"/>
    </row>
    <row r="2" spans="1:13" ht="61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7:13" ht="18" customHeight="1">
      <c r="G3" s="35"/>
      <c r="H3" s="35"/>
      <c r="L3" s="44" t="s">
        <v>50</v>
      </c>
      <c r="M3" s="44"/>
    </row>
    <row r="4" spans="1:13" ht="18" customHeight="1">
      <c r="A4" s="33" t="s">
        <v>37</v>
      </c>
      <c r="B4" s="40">
        <v>2020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4.25">
      <c r="A5" s="23" t="s">
        <v>16</v>
      </c>
      <c r="B5" s="21" t="s">
        <v>51</v>
      </c>
      <c r="C5" s="21" t="s">
        <v>52</v>
      </c>
      <c r="D5" s="21" t="s">
        <v>53</v>
      </c>
      <c r="E5" s="21" t="s">
        <v>54</v>
      </c>
      <c r="F5" s="21" t="s">
        <v>29</v>
      </c>
      <c r="G5" s="21" t="s">
        <v>30</v>
      </c>
      <c r="H5" s="21" t="s">
        <v>31</v>
      </c>
      <c r="I5" s="21" t="s">
        <v>55</v>
      </c>
      <c r="J5" s="21" t="s">
        <v>56</v>
      </c>
      <c r="K5" s="21" t="s">
        <v>57</v>
      </c>
      <c r="L5" s="21" t="s">
        <v>58</v>
      </c>
      <c r="M5" s="21" t="s">
        <v>59</v>
      </c>
    </row>
    <row r="6" spans="1:13" ht="14.25">
      <c r="A6" s="16" t="s">
        <v>46</v>
      </c>
      <c r="B6" s="11">
        <f aca="true" t="shared" si="0" ref="B6:L6">B10+B14</f>
        <v>9739011.438901205</v>
      </c>
      <c r="C6" s="11">
        <f t="shared" si="0"/>
        <v>9901132.49036163</v>
      </c>
      <c r="D6" s="11">
        <f t="shared" si="0"/>
        <v>10278118.144901473</v>
      </c>
      <c r="E6" s="11">
        <f t="shared" si="0"/>
        <v>10189036.95366674</v>
      </c>
      <c r="F6" s="11">
        <f t="shared" si="0"/>
        <v>9950986.00791616</v>
      </c>
      <c r="G6" s="11">
        <f t="shared" si="0"/>
        <v>9789551.72561814</v>
      </c>
      <c r="H6" s="11">
        <f t="shared" si="0"/>
        <v>10034087.473507456</v>
      </c>
      <c r="I6" s="11">
        <f t="shared" si="0"/>
        <v>10126855.402380776</v>
      </c>
      <c r="J6" s="11">
        <f t="shared" si="0"/>
        <v>10402477.810320035</v>
      </c>
      <c r="K6" s="11">
        <f t="shared" si="0"/>
        <v>10341111.539907977</v>
      </c>
      <c r="L6" s="11">
        <f t="shared" si="0"/>
        <v>10599352.39469999</v>
      </c>
      <c r="M6" s="11">
        <f>M10+M14</f>
        <v>10965356.53631381</v>
      </c>
    </row>
    <row r="7" spans="1:15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32"/>
    </row>
    <row r="8" spans="1:13" ht="14.25">
      <c r="A8" s="25" t="s">
        <v>19</v>
      </c>
      <c r="B8" s="13">
        <f aca="true" t="shared" si="1" ref="B8:L9">B12+B16</f>
        <v>85982.60876</v>
      </c>
      <c r="C8" s="13">
        <f t="shared" si="1"/>
        <v>85609.01223</v>
      </c>
      <c r="D8" s="13">
        <f t="shared" si="1"/>
        <v>85009.63944999999</v>
      </c>
      <c r="E8" s="13">
        <f t="shared" si="1"/>
        <v>84763.76531</v>
      </c>
      <c r="F8" s="13">
        <f t="shared" si="1"/>
        <v>84568.9327</v>
      </c>
      <c r="G8" s="13">
        <f t="shared" si="1"/>
        <v>84318.50633</v>
      </c>
      <c r="H8" s="13">
        <f t="shared" si="1"/>
        <v>84082.59983</v>
      </c>
      <c r="I8" s="13">
        <f t="shared" si="1"/>
        <v>83876.24</v>
      </c>
      <c r="J8" s="13">
        <f t="shared" si="1"/>
        <v>83637.07451</v>
      </c>
      <c r="K8" s="13">
        <f t="shared" si="1"/>
        <v>83418.32493</v>
      </c>
      <c r="L8" s="13">
        <f t="shared" si="1"/>
        <v>83181.46046</v>
      </c>
      <c r="M8" s="13">
        <f>M12+M16</f>
        <v>82831.69635</v>
      </c>
    </row>
    <row r="9" spans="1:15" ht="14.25">
      <c r="A9" s="25" t="s">
        <v>20</v>
      </c>
      <c r="B9" s="13">
        <f aca="true" t="shared" si="2" ref="B9:K9">B13+B17</f>
        <v>9653028.830141205</v>
      </c>
      <c r="C9" s="13">
        <f t="shared" si="2"/>
        <v>9815523.47813163</v>
      </c>
      <c r="D9" s="13">
        <f t="shared" si="2"/>
        <v>10193108.505451474</v>
      </c>
      <c r="E9" s="13">
        <f t="shared" si="2"/>
        <v>10104273.18835674</v>
      </c>
      <c r="F9" s="13">
        <f t="shared" si="2"/>
        <v>9866417.075216161</v>
      </c>
      <c r="G9" s="13">
        <f t="shared" si="2"/>
        <v>9705233.21928814</v>
      </c>
      <c r="H9" s="13">
        <f t="shared" si="2"/>
        <v>9950004.873677455</v>
      </c>
      <c r="I9" s="13">
        <f t="shared" si="2"/>
        <v>10042979.162380774</v>
      </c>
      <c r="J9" s="13">
        <f t="shared" si="2"/>
        <v>10318840.735810036</v>
      </c>
      <c r="K9" s="13">
        <f t="shared" si="2"/>
        <v>10257693.214977978</v>
      </c>
      <c r="L9" s="13">
        <f t="shared" si="1"/>
        <v>10516170.934239991</v>
      </c>
      <c r="M9" s="13">
        <f>M13+M17</f>
        <v>10882524.839963809</v>
      </c>
      <c r="O9" s="36"/>
    </row>
    <row r="10" spans="1:13" ht="14.25">
      <c r="A10" s="16" t="s">
        <v>48</v>
      </c>
      <c r="B10" s="11">
        <f>B12+B13</f>
        <v>4954428.28309</v>
      </c>
      <c r="C10" s="11">
        <f aca="true" t="shared" si="3" ref="C10:H10">C12+C13</f>
        <v>5117941.330046</v>
      </c>
      <c r="D10" s="11">
        <f t="shared" si="3"/>
        <v>5234222.54515</v>
      </c>
      <c r="E10" s="11">
        <f t="shared" si="3"/>
        <v>5211028.17233191</v>
      </c>
      <c r="F10" s="11">
        <f t="shared" si="3"/>
        <v>5060429.720357071</v>
      </c>
      <c r="G10" s="11">
        <f t="shared" si="3"/>
        <v>4968330.695775352</v>
      </c>
      <c r="H10" s="11">
        <f t="shared" si="3"/>
        <v>5227455.752760001</v>
      </c>
      <c r="I10" s="11">
        <f>I12+I13</f>
        <v>5318487.317546705</v>
      </c>
      <c r="J10" s="11">
        <f>J12+J13</f>
        <v>5494202.403819008</v>
      </c>
      <c r="K10" s="11">
        <f>K12+K13</f>
        <v>5694706.654764696</v>
      </c>
      <c r="L10" s="11">
        <f>L12+L13</f>
        <v>5729670.12242414</v>
      </c>
      <c r="M10" s="11">
        <f>M12+M13</f>
        <v>6370539.54333316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85982.60876</v>
      </c>
      <c r="C12" s="13">
        <v>85609.01223</v>
      </c>
      <c r="D12" s="13">
        <v>85009.63944999999</v>
      </c>
      <c r="E12" s="13">
        <v>84763.76531</v>
      </c>
      <c r="F12" s="13">
        <v>84568.9327</v>
      </c>
      <c r="G12" s="13">
        <v>84318.50633</v>
      </c>
      <c r="H12" s="13">
        <v>84082.59983</v>
      </c>
      <c r="I12" s="13">
        <v>83876.24</v>
      </c>
      <c r="J12" s="13">
        <v>83637.07451</v>
      </c>
      <c r="K12" s="13">
        <v>83418.32493</v>
      </c>
      <c r="L12" s="13">
        <v>83181.46046</v>
      </c>
      <c r="M12" s="13">
        <v>82831.69635</v>
      </c>
    </row>
    <row r="13" spans="1:14" ht="14.25">
      <c r="A13" s="25" t="s">
        <v>38</v>
      </c>
      <c r="B13" s="13">
        <v>4868445.67433</v>
      </c>
      <c r="C13" s="13">
        <v>5032332.317816</v>
      </c>
      <c r="D13" s="13">
        <v>5149212.9057</v>
      </c>
      <c r="E13" s="13">
        <v>5126264.40702191</v>
      </c>
      <c r="F13" s="13">
        <v>4975860.787657071</v>
      </c>
      <c r="G13" s="13">
        <v>4884012.189445352</v>
      </c>
      <c r="H13" s="13">
        <v>5143373.152930002</v>
      </c>
      <c r="I13" s="13">
        <v>5234611.077546705</v>
      </c>
      <c r="J13" s="13">
        <v>5410565.329309008</v>
      </c>
      <c r="K13" s="13">
        <v>5611288.329834696</v>
      </c>
      <c r="L13" s="13">
        <v>5646488.66196414</v>
      </c>
      <c r="M13" s="13">
        <v>6287707.84698316</v>
      </c>
      <c r="N13" s="32"/>
    </row>
    <row r="14" spans="1:13" ht="14.25">
      <c r="A14" s="16" t="s">
        <v>47</v>
      </c>
      <c r="B14" s="11">
        <f>B16+B17</f>
        <v>4784583.155811205</v>
      </c>
      <c r="C14" s="11">
        <f aca="true" t="shared" si="4" ref="C14:H14">C16+C17</f>
        <v>4783191.16031563</v>
      </c>
      <c r="D14" s="11">
        <f t="shared" si="4"/>
        <v>5043895.599751473</v>
      </c>
      <c r="E14" s="11">
        <f t="shared" si="4"/>
        <v>4978008.78133483</v>
      </c>
      <c r="F14" s="11">
        <f t="shared" si="4"/>
        <v>4890556.28755909</v>
      </c>
      <c r="G14" s="11">
        <f t="shared" si="4"/>
        <v>4821221.029842788</v>
      </c>
      <c r="H14" s="11">
        <f t="shared" si="4"/>
        <v>4806631.720747454</v>
      </c>
      <c r="I14" s="11">
        <f>I16+I17</f>
        <v>4808368.08483407</v>
      </c>
      <c r="J14" s="11">
        <f>J16+J17</f>
        <v>4908275.406501028</v>
      </c>
      <c r="K14" s="11">
        <f>K16+K17</f>
        <v>4646404.885143282</v>
      </c>
      <c r="L14" s="11">
        <f>L16+L17</f>
        <v>4869682.27227585</v>
      </c>
      <c r="M14" s="11">
        <f>M16+M17</f>
        <v>4594816.99298065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v>4784583.155811205</v>
      </c>
      <c r="C17" s="13">
        <v>4783191.16031563</v>
      </c>
      <c r="D17" s="13">
        <v>5043895.599751473</v>
      </c>
      <c r="E17" s="13">
        <v>4978008.78133483</v>
      </c>
      <c r="F17" s="13">
        <v>4890556.28755909</v>
      </c>
      <c r="G17" s="13">
        <v>4821221.029842788</v>
      </c>
      <c r="H17" s="13">
        <v>4806631.720747454</v>
      </c>
      <c r="I17" s="13">
        <v>4808368.08483407</v>
      </c>
      <c r="J17" s="13">
        <v>4908275.406501028</v>
      </c>
      <c r="K17" s="13">
        <v>4646404.885143282</v>
      </c>
      <c r="L17" s="13">
        <f>4869682272.27585/1000</f>
        <v>4869682.27227585</v>
      </c>
      <c r="M17" s="13">
        <v>4594816.99298065</v>
      </c>
    </row>
    <row r="19" spans="5:12" ht="14.25">
      <c r="E19" s="32"/>
      <c r="J19" s="32"/>
      <c r="K19" s="32"/>
      <c r="L19" s="32"/>
    </row>
    <row r="20" spans="2:12" ht="14.25">
      <c r="B20" s="27"/>
      <c r="C20" s="32"/>
      <c r="F20" s="38"/>
      <c r="G20" s="32"/>
      <c r="H20" s="32"/>
      <c r="I20" s="32"/>
      <c r="J20" s="32"/>
      <c r="K20" s="32"/>
      <c r="L20" s="32"/>
    </row>
    <row r="21" spans="5:10" ht="14.25">
      <c r="E21" s="32"/>
      <c r="F21" s="32"/>
      <c r="H21" s="32"/>
      <c r="J21" s="32"/>
    </row>
    <row r="22" spans="9:13" ht="14.25">
      <c r="I22" s="32"/>
      <c r="M22" s="32"/>
    </row>
  </sheetData>
  <sheetProtection/>
  <mergeCells count="3">
    <mergeCell ref="L3:M3"/>
    <mergeCell ref="B4:M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125" defaultRowHeight="12.75"/>
  <cols>
    <col min="1" max="1" width="40.50390625" style="22" customWidth="1"/>
    <col min="2" max="2" width="10.50390625" style="22" customWidth="1"/>
    <col min="3" max="3" width="10.125" style="22" customWidth="1"/>
    <col min="4" max="4" width="9.875" style="22" customWidth="1"/>
    <col min="5" max="5" width="9.75390625" style="22" customWidth="1"/>
    <col min="6" max="6" width="9.50390625" style="22" customWidth="1"/>
    <col min="7" max="7" width="9.875" style="22" customWidth="1"/>
    <col min="8" max="8" width="10.125" style="22" customWidth="1"/>
    <col min="9" max="10" width="9.50390625" style="22" customWidth="1"/>
    <col min="11" max="11" width="9.875" style="22" customWidth="1"/>
    <col min="12" max="12" width="9.50390625" style="22" customWidth="1"/>
    <col min="13" max="13" width="10.25390625" style="22" customWidth="1"/>
    <col min="14" max="14" width="12.25390625" style="22" bestFit="1" customWidth="1"/>
    <col min="15" max="16384" width="9.125" style="22" customWidth="1"/>
  </cols>
  <sheetData>
    <row r="1" spans="2:4" ht="13.5" customHeight="1">
      <c r="B1" s="34"/>
      <c r="C1" s="34"/>
      <c r="D1" s="34"/>
    </row>
    <row r="2" spans="1:7" ht="52.5" customHeight="1">
      <c r="A2" s="34"/>
      <c r="B2" s="39" t="s">
        <v>40</v>
      </c>
      <c r="C2" s="39"/>
      <c r="D2" s="39"/>
      <c r="E2" s="39"/>
      <c r="F2" s="39"/>
      <c r="G2" s="39"/>
    </row>
    <row r="3" spans="7:13" ht="18" customHeight="1">
      <c r="G3" s="35"/>
      <c r="H3" s="35"/>
      <c r="L3" s="44" t="s">
        <v>24</v>
      </c>
      <c r="M3" s="44"/>
    </row>
    <row r="4" spans="1:13" ht="18" customHeight="1">
      <c r="A4" s="33" t="s">
        <v>37</v>
      </c>
      <c r="B4" s="40">
        <v>2019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4.2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4.25">
      <c r="A6" s="16" t="s">
        <v>46</v>
      </c>
      <c r="B6" s="11">
        <f aca="true" t="shared" si="0" ref="B6:L6">B10+B14</f>
        <v>8751106.983357623</v>
      </c>
      <c r="C6" s="11">
        <f t="shared" si="0"/>
        <v>8754814.5007739</v>
      </c>
      <c r="D6" s="11">
        <f t="shared" si="0"/>
        <v>8844864.047433417</v>
      </c>
      <c r="E6" s="11">
        <f t="shared" si="0"/>
        <v>8786771.194907008</v>
      </c>
      <c r="F6" s="11">
        <f t="shared" si="0"/>
        <v>8771395.831602274</v>
      </c>
      <c r="G6" s="11">
        <f t="shared" si="0"/>
        <v>8935780.652918722</v>
      </c>
      <c r="H6" s="11">
        <f t="shared" si="0"/>
        <v>9082686.593048029</v>
      </c>
      <c r="I6" s="11">
        <f t="shared" si="0"/>
        <v>9218907.97859823</v>
      </c>
      <c r="J6" s="11">
        <f t="shared" si="0"/>
        <v>9235926.29702944</v>
      </c>
      <c r="K6" s="11">
        <f t="shared" si="0"/>
        <v>9241446.05185284</v>
      </c>
      <c r="L6" s="11">
        <f t="shared" si="0"/>
        <v>9348996.290919743</v>
      </c>
      <c r="M6" s="11">
        <f>M10+M14</f>
        <v>9789508.581723142</v>
      </c>
    </row>
    <row r="7" spans="1:13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25" t="s">
        <v>19</v>
      </c>
      <c r="B8" s="13">
        <f aca="true" t="shared" si="1" ref="B8:L9">B12+B16</f>
        <v>93656.56672</v>
      </c>
      <c r="C8" s="13">
        <f t="shared" si="1"/>
        <v>93237.42833000001</v>
      </c>
      <c r="D8" s="13">
        <f t="shared" si="1"/>
        <v>92630.53412000001</v>
      </c>
      <c r="E8" s="13">
        <f t="shared" si="1"/>
        <v>92072.17041</v>
      </c>
      <c r="F8" s="13">
        <f t="shared" si="1"/>
        <v>90917.33473</v>
      </c>
      <c r="G8" s="13">
        <f t="shared" si="1"/>
        <v>89824.46283000002</v>
      </c>
      <c r="H8" s="13">
        <f t="shared" si="1"/>
        <v>89117.64876000001</v>
      </c>
      <c r="I8" s="13">
        <f t="shared" si="1"/>
        <v>88548.78896</v>
      </c>
      <c r="J8" s="13">
        <f t="shared" si="1"/>
        <v>88035.33504</v>
      </c>
      <c r="K8" s="13">
        <f t="shared" si="1"/>
        <v>87641.39686000001</v>
      </c>
      <c r="L8" s="13">
        <f t="shared" si="1"/>
        <v>87204.61873</v>
      </c>
      <c r="M8" s="13">
        <f>M12+M16</f>
        <v>86255.2207</v>
      </c>
    </row>
    <row r="9" spans="1:13" ht="14.25">
      <c r="A9" s="25" t="s">
        <v>20</v>
      </c>
      <c r="B9" s="13">
        <f t="shared" si="1"/>
        <v>8657450.416637624</v>
      </c>
      <c r="C9" s="13">
        <f t="shared" si="1"/>
        <v>8661577.072443899</v>
      </c>
      <c r="D9" s="13">
        <f t="shared" si="1"/>
        <v>8752233.513313418</v>
      </c>
      <c r="E9" s="13">
        <f t="shared" si="1"/>
        <v>8694699.024497008</v>
      </c>
      <c r="F9" s="13">
        <f t="shared" si="1"/>
        <v>8680478.496872274</v>
      </c>
      <c r="G9" s="13">
        <f t="shared" si="1"/>
        <v>8845956.190088723</v>
      </c>
      <c r="H9" s="13">
        <f t="shared" si="1"/>
        <v>8993568.94428803</v>
      </c>
      <c r="I9" s="13">
        <f t="shared" si="1"/>
        <v>9130359.189638231</v>
      </c>
      <c r="J9" s="13">
        <f t="shared" si="1"/>
        <v>9147890.96198944</v>
      </c>
      <c r="K9" s="13">
        <f t="shared" si="1"/>
        <v>9153804.654992841</v>
      </c>
      <c r="L9" s="13">
        <f t="shared" si="1"/>
        <v>9261791.672189742</v>
      </c>
      <c r="M9" s="13">
        <f>M13+M17</f>
        <v>9703253.361023143</v>
      </c>
    </row>
    <row r="10" spans="1:13" ht="14.25">
      <c r="A10" s="16" t="s">
        <v>48</v>
      </c>
      <c r="B10" s="11">
        <f>B12+B13</f>
        <v>3959106.03795</v>
      </c>
      <c r="C10" s="11">
        <f aca="true" t="shared" si="2" ref="C10:H10">C12+C13</f>
        <v>3995093.9471200006</v>
      </c>
      <c r="D10" s="11">
        <f t="shared" si="2"/>
        <v>4083619.1063400004</v>
      </c>
      <c r="E10" s="11">
        <f t="shared" si="2"/>
        <v>4187838.18187</v>
      </c>
      <c r="F10" s="11">
        <f t="shared" si="2"/>
        <v>4195419.43109</v>
      </c>
      <c r="G10" s="11">
        <f t="shared" si="2"/>
        <v>4457978.32178</v>
      </c>
      <c r="H10" s="11">
        <f t="shared" si="2"/>
        <v>4592170.3831</v>
      </c>
      <c r="I10" s="11">
        <f>I12+I13</f>
        <v>4671549.941799999</v>
      </c>
      <c r="J10" s="11">
        <f>J12+J13</f>
        <v>4703519.394040001</v>
      </c>
      <c r="K10" s="11">
        <f>K12+K13</f>
        <v>4681210.541680001</v>
      </c>
      <c r="L10" s="11">
        <f>L12+L13</f>
        <v>4757087.5269100005</v>
      </c>
      <c r="M10" s="11">
        <f>M12+M13</f>
        <v>5021086.3417225545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93656.56672</v>
      </c>
      <c r="C12" s="13">
        <v>93237.42833000001</v>
      </c>
      <c r="D12" s="13">
        <v>92630.53412000001</v>
      </c>
      <c r="E12" s="13">
        <v>92072.17041</v>
      </c>
      <c r="F12" s="13">
        <v>90917.33473</v>
      </c>
      <c r="G12" s="13">
        <v>89824.46283000002</v>
      </c>
      <c r="H12" s="13">
        <v>89117.64876000001</v>
      </c>
      <c r="I12" s="13">
        <v>88548.78896</v>
      </c>
      <c r="J12" s="13">
        <v>88035.33504</v>
      </c>
      <c r="K12" s="13">
        <v>87641.39686000001</v>
      </c>
      <c r="L12" s="13">
        <v>87204.61873</v>
      </c>
      <c r="M12" s="13">
        <v>86255.2207</v>
      </c>
    </row>
    <row r="13" spans="1:14" ht="14.25">
      <c r="A13" s="25" t="s">
        <v>38</v>
      </c>
      <c r="B13" s="13">
        <v>3865449.47123</v>
      </c>
      <c r="C13" s="13">
        <v>3901856.5187900006</v>
      </c>
      <c r="D13" s="13">
        <v>3990988.5722200004</v>
      </c>
      <c r="E13" s="13">
        <v>4095766.01146</v>
      </c>
      <c r="F13" s="13">
        <v>4104502.0963600003</v>
      </c>
      <c r="G13" s="13">
        <v>4368153.85895</v>
      </c>
      <c r="H13" s="13">
        <v>4503052.73434</v>
      </c>
      <c r="I13" s="13">
        <v>4583001.15284</v>
      </c>
      <c r="J13" s="13">
        <v>4615484.059</v>
      </c>
      <c r="K13" s="13">
        <v>4593569.144820001</v>
      </c>
      <c r="L13" s="13">
        <v>4669882.90818</v>
      </c>
      <c r="M13" s="13">
        <v>4934831.121022554</v>
      </c>
      <c r="N13" s="32"/>
    </row>
    <row r="14" spans="1:13" ht="14.25">
      <c r="A14" s="16" t="s">
        <v>47</v>
      </c>
      <c r="B14" s="11">
        <f>B16+B17</f>
        <v>4792000.945407623</v>
      </c>
      <c r="C14" s="11">
        <f aca="true" t="shared" si="3" ref="C14:H14">C16+C17</f>
        <v>4759720.553653898</v>
      </c>
      <c r="D14" s="11">
        <f t="shared" si="3"/>
        <v>4761244.941093418</v>
      </c>
      <c r="E14" s="11">
        <f t="shared" si="3"/>
        <v>4598933.013037007</v>
      </c>
      <c r="F14" s="11">
        <f t="shared" si="3"/>
        <v>4575976.400512273</v>
      </c>
      <c r="G14" s="11">
        <f t="shared" si="3"/>
        <v>4477802.331138723</v>
      </c>
      <c r="H14" s="11">
        <f t="shared" si="3"/>
        <v>4490516.209948029</v>
      </c>
      <c r="I14" s="11">
        <f>I16+I17</f>
        <v>4547358.036798231</v>
      </c>
      <c r="J14" s="11">
        <f>J16+J17</f>
        <v>4532406.90298944</v>
      </c>
      <c r="K14" s="11">
        <f>K16+K17</f>
        <v>4560235.51017284</v>
      </c>
      <c r="L14" s="11">
        <f>L16+L17</f>
        <v>4591908.764009743</v>
      </c>
      <c r="M14" s="11">
        <f>M16+M17</f>
        <v>4768422.240000588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v>4792000.945407623</v>
      </c>
      <c r="C17" s="13">
        <v>4759720.553653898</v>
      </c>
      <c r="D17" s="13">
        <v>4761244.941093418</v>
      </c>
      <c r="E17" s="13">
        <v>4598933.013037007</v>
      </c>
      <c r="F17" s="13">
        <v>4575976.400512273</v>
      </c>
      <c r="G17" s="13">
        <v>4477802.331138723</v>
      </c>
      <c r="H17" s="13">
        <v>4490516.209948029</v>
      </c>
      <c r="I17" s="13">
        <v>4547358.036798231</v>
      </c>
      <c r="J17" s="13">
        <v>4532406.90298944</v>
      </c>
      <c r="K17" s="13">
        <v>4560235.51017284</v>
      </c>
      <c r="L17" s="13">
        <v>4591908.764009743</v>
      </c>
      <c r="M17" s="13">
        <v>4768422.240000588</v>
      </c>
    </row>
    <row r="19" spans="5:12" ht="14.25">
      <c r="E19" s="32"/>
      <c r="L19" s="32"/>
    </row>
    <row r="20" spans="2:3" ht="14.25">
      <c r="B20" s="27"/>
      <c r="C20" s="32"/>
    </row>
    <row r="21" ht="14.25">
      <c r="J21" s="32"/>
    </row>
  </sheetData>
  <sheetProtection/>
  <mergeCells count="3">
    <mergeCell ref="B2:G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3" sqref="L3:M3"/>
    </sheetView>
  </sheetViews>
  <sheetFormatPr defaultColWidth="9.125" defaultRowHeight="12.75"/>
  <cols>
    <col min="1" max="1" width="40.50390625" style="22" customWidth="1"/>
    <col min="2" max="2" width="10.125" style="22" customWidth="1"/>
    <col min="3" max="8" width="9.125" style="22" customWidth="1"/>
    <col min="9" max="9" width="9.50390625" style="22" customWidth="1"/>
    <col min="10" max="10" width="9.125" style="22" customWidth="1"/>
    <col min="11" max="12" width="9.50390625" style="22" customWidth="1"/>
    <col min="13" max="13" width="10.25390625" style="22" customWidth="1"/>
    <col min="14" max="14" width="12.25390625" style="22" bestFit="1" customWidth="1"/>
    <col min="15" max="16384" width="9.125" style="22" customWidth="1"/>
  </cols>
  <sheetData>
    <row r="1" spans="2:4" ht="13.5" customHeight="1">
      <c r="B1" s="34"/>
      <c r="C1" s="34"/>
      <c r="D1" s="34"/>
    </row>
    <row r="2" spans="1:7" ht="45.75" customHeight="1">
      <c r="A2" s="34"/>
      <c r="B2" s="39" t="s">
        <v>40</v>
      </c>
      <c r="C2" s="39"/>
      <c r="D2" s="39"/>
      <c r="E2" s="39"/>
      <c r="F2" s="39"/>
      <c r="G2" s="39"/>
    </row>
    <row r="3" spans="7:13" ht="18" customHeight="1">
      <c r="G3" s="35"/>
      <c r="H3" s="35"/>
      <c r="L3" s="44" t="s">
        <v>24</v>
      </c>
      <c r="M3" s="44"/>
    </row>
    <row r="4" spans="1:13" ht="18" customHeight="1">
      <c r="A4" s="33" t="s">
        <v>37</v>
      </c>
      <c r="B4" s="40">
        <v>2018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4.2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39</v>
      </c>
      <c r="M5" s="21" t="s">
        <v>36</v>
      </c>
    </row>
    <row r="6" spans="1:13" ht="14.25">
      <c r="A6" s="16" t="s">
        <v>46</v>
      </c>
      <c r="B6" s="11">
        <f aca="true" t="shared" si="0" ref="B6:M6">B10+B14</f>
        <v>8546799</v>
      </c>
      <c r="C6" s="11">
        <f t="shared" si="0"/>
        <v>8549305</v>
      </c>
      <c r="D6" s="11">
        <f t="shared" si="0"/>
        <v>8204782.6</v>
      </c>
      <c r="E6" s="11">
        <f t="shared" si="0"/>
        <v>8309702.1</v>
      </c>
      <c r="F6" s="11">
        <f t="shared" si="0"/>
        <v>8403361</v>
      </c>
      <c r="G6" s="11">
        <f t="shared" si="0"/>
        <v>8476378.082895543</v>
      </c>
      <c r="H6" s="11">
        <f t="shared" si="0"/>
        <v>8580242.53006715</v>
      </c>
      <c r="I6" s="11">
        <f t="shared" si="0"/>
        <v>8609806.288056653</v>
      </c>
      <c r="J6" s="11">
        <f t="shared" si="0"/>
        <v>8638645.477639452</v>
      </c>
      <c r="K6" s="11">
        <f t="shared" si="0"/>
        <v>8733969.33522839</v>
      </c>
      <c r="L6" s="11">
        <f t="shared" si="0"/>
        <v>8778451.457406584</v>
      </c>
      <c r="M6" s="11">
        <f t="shared" si="0"/>
        <v>8741361.272791408</v>
      </c>
    </row>
    <row r="7" spans="1:13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25" t="s">
        <v>19</v>
      </c>
      <c r="B8" s="13">
        <f aca="true" t="shared" si="1" ref="B8:M8">B12+B16</f>
        <v>100501</v>
      </c>
      <c r="C8" s="13">
        <f t="shared" si="1"/>
        <v>100056</v>
      </c>
      <c r="D8" s="13">
        <f t="shared" si="1"/>
        <v>99428.6</v>
      </c>
      <c r="E8" s="13">
        <f t="shared" si="1"/>
        <v>98937.1</v>
      </c>
      <c r="F8" s="13">
        <f t="shared" si="1"/>
        <v>98379</v>
      </c>
      <c r="G8" s="13">
        <f t="shared" si="1"/>
        <v>97804.42134</v>
      </c>
      <c r="H8" s="13">
        <f t="shared" si="1"/>
        <v>97290.95637</v>
      </c>
      <c r="I8" s="13">
        <f t="shared" si="1"/>
        <v>96762.90738</v>
      </c>
      <c r="J8" s="13">
        <f t="shared" si="1"/>
        <v>96132.07212000001</v>
      </c>
      <c r="K8" s="13">
        <f t="shared" si="1"/>
        <v>95279.66438000002</v>
      </c>
      <c r="L8" s="13">
        <f t="shared" si="1"/>
        <v>94732.11646</v>
      </c>
      <c r="M8" s="13">
        <f t="shared" si="1"/>
        <v>94214.36711000002</v>
      </c>
    </row>
    <row r="9" spans="1:13" ht="14.25">
      <c r="A9" s="25" t="s">
        <v>20</v>
      </c>
      <c r="B9" s="13">
        <f aca="true" t="shared" si="2" ref="B9:M9">B13+B17</f>
        <v>8446298</v>
      </c>
      <c r="C9" s="13">
        <f t="shared" si="2"/>
        <v>8449249</v>
      </c>
      <c r="D9" s="13">
        <f t="shared" si="2"/>
        <v>8105354</v>
      </c>
      <c r="E9" s="13">
        <f t="shared" si="2"/>
        <v>8210765</v>
      </c>
      <c r="F9" s="13">
        <f t="shared" si="2"/>
        <v>8304982</v>
      </c>
      <c r="G9" s="13">
        <f t="shared" si="2"/>
        <v>8378573.661555544</v>
      </c>
      <c r="H9" s="13">
        <f t="shared" si="2"/>
        <v>8482951.57369715</v>
      </c>
      <c r="I9" s="13">
        <f t="shared" si="2"/>
        <v>8513043.380676653</v>
      </c>
      <c r="J9" s="13">
        <f t="shared" si="2"/>
        <v>8542513.405519452</v>
      </c>
      <c r="K9" s="13">
        <f t="shared" si="2"/>
        <v>8638689.670848388</v>
      </c>
      <c r="L9" s="13">
        <f t="shared" si="2"/>
        <v>8683719.340946585</v>
      </c>
      <c r="M9" s="13">
        <f t="shared" si="2"/>
        <v>8647146.905681409</v>
      </c>
    </row>
    <row r="10" spans="1:13" ht="14.25">
      <c r="A10" s="16" t="s">
        <v>48</v>
      </c>
      <c r="B10" s="11">
        <f aca="true" t="shared" si="3" ref="B10:H10">B12+B13</f>
        <v>3566692</v>
      </c>
      <c r="C10" s="11">
        <f t="shared" si="3"/>
        <v>3604993</v>
      </c>
      <c r="D10" s="11">
        <f t="shared" si="3"/>
        <v>3607038.6</v>
      </c>
      <c r="E10" s="11">
        <f t="shared" si="3"/>
        <v>3658096.1</v>
      </c>
      <c r="F10" s="11">
        <f t="shared" si="3"/>
        <v>3686975</v>
      </c>
      <c r="G10" s="11">
        <f t="shared" si="3"/>
        <v>3735328.0696300003</v>
      </c>
      <c r="H10" s="11">
        <f t="shared" si="3"/>
        <v>3766267.14859</v>
      </c>
      <c r="I10" s="11">
        <f>I12+I13</f>
        <v>3839184.1060199994</v>
      </c>
      <c r="J10" s="11">
        <f>J12+J13</f>
        <v>3885066.6472599995</v>
      </c>
      <c r="K10" s="11">
        <f>K12+K13</f>
        <v>3849764.92253</v>
      </c>
      <c r="L10" s="11">
        <f>L12+L13</f>
        <v>3924376.0756800002</v>
      </c>
      <c r="M10" s="11">
        <f>M12+M13</f>
        <v>3913337.8328299993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100501</v>
      </c>
      <c r="C12" s="13">
        <v>100056</v>
      </c>
      <c r="D12" s="13">
        <v>99428.6</v>
      </c>
      <c r="E12" s="13">
        <v>98937.1</v>
      </c>
      <c r="F12" s="13">
        <v>98379</v>
      </c>
      <c r="G12" s="13">
        <v>97804.42134</v>
      </c>
      <c r="H12" s="13">
        <v>97290.95637</v>
      </c>
      <c r="I12" s="13">
        <v>96762.90738</v>
      </c>
      <c r="J12" s="13">
        <v>96132.07212000001</v>
      </c>
      <c r="K12" s="13">
        <v>95279.66438000002</v>
      </c>
      <c r="L12" s="13">
        <v>94732.11646</v>
      </c>
      <c r="M12" s="13">
        <v>94214.36711000002</v>
      </c>
    </row>
    <row r="13" spans="1:14" ht="14.25">
      <c r="A13" s="25" t="s">
        <v>38</v>
      </c>
      <c r="B13" s="13">
        <v>3466191</v>
      </c>
      <c r="C13" s="13">
        <v>3504937</v>
      </c>
      <c r="D13" s="13">
        <v>3507610</v>
      </c>
      <c r="E13" s="13">
        <v>3559159</v>
      </c>
      <c r="F13" s="13">
        <v>3588596</v>
      </c>
      <c r="G13" s="13">
        <v>3637523.6482900004</v>
      </c>
      <c r="H13" s="13">
        <v>3668976.19222</v>
      </c>
      <c r="I13" s="13">
        <v>3742421.198639999</v>
      </c>
      <c r="J13" s="13">
        <v>3788934.5751399994</v>
      </c>
      <c r="K13" s="13">
        <v>3754485.25815</v>
      </c>
      <c r="L13" s="13">
        <v>3829643.95922</v>
      </c>
      <c r="M13" s="13">
        <v>3819123.4657199993</v>
      </c>
      <c r="N13" s="32"/>
    </row>
    <row r="14" spans="1:13" ht="14.25">
      <c r="A14" s="16" t="s">
        <v>47</v>
      </c>
      <c r="B14" s="11">
        <f aca="true" t="shared" si="4" ref="B14:H14">B16+B17</f>
        <v>4980107</v>
      </c>
      <c r="C14" s="11">
        <f t="shared" si="4"/>
        <v>4944312</v>
      </c>
      <c r="D14" s="11">
        <f t="shared" si="4"/>
        <v>4597744</v>
      </c>
      <c r="E14" s="11">
        <f t="shared" si="4"/>
        <v>4651606</v>
      </c>
      <c r="F14" s="11">
        <f t="shared" si="4"/>
        <v>4716386</v>
      </c>
      <c r="G14" s="11">
        <f t="shared" si="4"/>
        <v>4741050.013265543</v>
      </c>
      <c r="H14" s="11">
        <f t="shared" si="4"/>
        <v>4813975.381477149</v>
      </c>
      <c r="I14" s="11">
        <f>I16+I17</f>
        <v>4770622.182036653</v>
      </c>
      <c r="J14" s="11">
        <f>J16+J17</f>
        <v>4753578.830379453</v>
      </c>
      <c r="K14" s="11">
        <f>K16+K17</f>
        <v>4884204.412698389</v>
      </c>
      <c r="L14" s="11">
        <f>L16+L17</f>
        <v>4854075.381726584</v>
      </c>
      <c r="M14" s="11">
        <f>M16+M17</f>
        <v>4828023.439961409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v>4980107</v>
      </c>
      <c r="C17" s="13">
        <v>4944312</v>
      </c>
      <c r="D17" s="13">
        <v>4597744</v>
      </c>
      <c r="E17" s="13">
        <v>4651606</v>
      </c>
      <c r="F17" s="13">
        <v>4716386</v>
      </c>
      <c r="G17" s="13">
        <v>4741050.013265543</v>
      </c>
      <c r="H17" s="13">
        <v>4813975.381477149</v>
      </c>
      <c r="I17" s="13">
        <v>4770622.182036653</v>
      </c>
      <c r="J17" s="13">
        <v>4753578.830379453</v>
      </c>
      <c r="K17" s="13">
        <v>4884204.412698389</v>
      </c>
      <c r="L17" s="13">
        <v>4854075.381726584</v>
      </c>
      <c r="M17" s="13">
        <v>4828023.439961409</v>
      </c>
    </row>
    <row r="20" ht="14.25">
      <c r="B20" s="27"/>
    </row>
  </sheetData>
  <sheetProtection/>
  <mergeCells count="3">
    <mergeCell ref="B2:G2"/>
    <mergeCell ref="B4:M4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0" sqref="A10"/>
    </sheetView>
  </sheetViews>
  <sheetFormatPr defaultColWidth="9.125" defaultRowHeight="12.75"/>
  <cols>
    <col min="1" max="1" width="40.50390625" style="22" customWidth="1"/>
    <col min="2" max="2" width="10.125" style="22" customWidth="1"/>
    <col min="3" max="16384" width="9.125" style="22" customWidth="1"/>
  </cols>
  <sheetData>
    <row r="1" spans="1:13" ht="13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8" customHeight="1">
      <c r="A4" s="23" t="s">
        <v>37</v>
      </c>
      <c r="B4" s="43">
        <v>2017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4.2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10" t="s">
        <v>36</v>
      </c>
    </row>
    <row r="6" spans="1:13" ht="14.25">
      <c r="A6" s="16" t="s">
        <v>46</v>
      </c>
      <c r="B6" s="11">
        <f aca="true" t="shared" si="0" ref="B6:K6">B10+B14</f>
        <v>9699225.070076207</v>
      </c>
      <c r="C6" s="11">
        <f t="shared" si="0"/>
        <v>9711626.210630286</v>
      </c>
      <c r="D6" s="11">
        <f t="shared" si="0"/>
        <v>9804564.108047906</v>
      </c>
      <c r="E6" s="11">
        <f t="shared" si="0"/>
        <v>9561747.95928</v>
      </c>
      <c r="F6" s="11">
        <f t="shared" si="0"/>
        <v>9650174.794078281</v>
      </c>
      <c r="G6" s="11">
        <f t="shared" si="0"/>
        <v>9553705.749254527</v>
      </c>
      <c r="H6" s="11">
        <f t="shared" si="0"/>
        <v>9345015.162364943</v>
      </c>
      <c r="I6" s="11">
        <f t="shared" si="0"/>
        <v>9303722.557938125</v>
      </c>
      <c r="J6" s="11">
        <f t="shared" si="0"/>
        <v>9200968.477273788</v>
      </c>
      <c r="K6" s="11">
        <f t="shared" si="0"/>
        <v>9084180.590646125</v>
      </c>
      <c r="L6" s="11">
        <v>8840499.80435521</v>
      </c>
      <c r="M6" s="11">
        <f>M10+M14</f>
        <v>8608079</v>
      </c>
    </row>
    <row r="7" spans="1:13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25" t="s">
        <v>19</v>
      </c>
      <c r="B8" s="13">
        <f aca="true" t="shared" si="1" ref="B8:K8">B12+B16</f>
        <v>108104.47128</v>
      </c>
      <c r="C8" s="13">
        <f t="shared" si="1"/>
        <v>106559.91682000001</v>
      </c>
      <c r="D8" s="13">
        <f t="shared" si="1"/>
        <v>106559.91682000001</v>
      </c>
      <c r="E8" s="13">
        <f t="shared" si="1"/>
        <v>105469.0951</v>
      </c>
      <c r="F8" s="13">
        <f t="shared" si="1"/>
        <v>104914.96753</v>
      </c>
      <c r="G8" s="13">
        <f t="shared" si="1"/>
        <v>104391.12384</v>
      </c>
      <c r="H8" s="13">
        <f t="shared" si="1"/>
        <v>103948.02731</v>
      </c>
      <c r="I8" s="13">
        <f t="shared" si="1"/>
        <v>103389.60525</v>
      </c>
      <c r="J8" s="13">
        <f t="shared" si="1"/>
        <v>102658.69635000001</v>
      </c>
      <c r="K8" s="13">
        <f t="shared" si="1"/>
        <v>102204.38512</v>
      </c>
      <c r="L8" s="13">
        <v>101750.63297</v>
      </c>
      <c r="M8" s="13">
        <f>M12+M16</f>
        <v>101156.6</v>
      </c>
    </row>
    <row r="9" spans="1:13" ht="14.25">
      <c r="A9" s="25" t="s">
        <v>20</v>
      </c>
      <c r="B9" s="13">
        <f aca="true" t="shared" si="2" ref="B9:K9">B13+B17</f>
        <v>9591120.598796207</v>
      </c>
      <c r="C9" s="13">
        <f t="shared" si="2"/>
        <v>9605066.293810286</v>
      </c>
      <c r="D9" s="13">
        <f t="shared" si="2"/>
        <v>9698004.191227907</v>
      </c>
      <c r="E9" s="13">
        <f t="shared" si="2"/>
        <v>9456278.86418</v>
      </c>
      <c r="F9" s="13">
        <f t="shared" si="2"/>
        <v>9545259.826548282</v>
      </c>
      <c r="G9" s="13">
        <f t="shared" si="2"/>
        <v>9449314.625414528</v>
      </c>
      <c r="H9" s="13">
        <f t="shared" si="2"/>
        <v>9241067.135054942</v>
      </c>
      <c r="I9" s="13">
        <f t="shared" si="2"/>
        <v>9200332.952688124</v>
      </c>
      <c r="J9" s="13">
        <f t="shared" si="2"/>
        <v>9098309.780923788</v>
      </c>
      <c r="K9" s="13">
        <f t="shared" si="2"/>
        <v>8981976.205526125</v>
      </c>
      <c r="L9" s="13">
        <v>8738749.17138521</v>
      </c>
      <c r="M9" s="13">
        <f>M13+M17</f>
        <v>8506922.4</v>
      </c>
    </row>
    <row r="10" spans="1:13" ht="14.25">
      <c r="A10" s="16" t="s">
        <v>48</v>
      </c>
      <c r="B10" s="11">
        <f aca="true" t="shared" si="3" ref="B10:K10">B12+B13</f>
        <v>3849684.066760519</v>
      </c>
      <c r="C10" s="11">
        <f t="shared" si="3"/>
        <v>3898073.552906</v>
      </c>
      <c r="D10" s="11">
        <f t="shared" si="3"/>
        <v>3936571.3115159995</v>
      </c>
      <c r="E10" s="11">
        <f t="shared" si="3"/>
        <v>3802355.77207</v>
      </c>
      <c r="F10" s="11">
        <f t="shared" si="3"/>
        <v>3739789.429076</v>
      </c>
      <c r="G10" s="11">
        <f t="shared" si="3"/>
        <v>3690112.825806</v>
      </c>
      <c r="H10" s="11">
        <f t="shared" si="3"/>
        <v>3680073.76829</v>
      </c>
      <c r="I10" s="11">
        <f t="shared" si="3"/>
        <v>3720991.73044</v>
      </c>
      <c r="J10" s="11">
        <f t="shared" si="3"/>
        <v>3674439.02959</v>
      </c>
      <c r="K10" s="11">
        <f t="shared" si="3"/>
        <v>3602927.41885</v>
      </c>
      <c r="L10" s="11">
        <v>3508035.1757100006</v>
      </c>
      <c r="M10" s="11">
        <f>M12+M13</f>
        <v>3537525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108104.47128</v>
      </c>
      <c r="C12" s="13">
        <v>106559.91682000001</v>
      </c>
      <c r="D12" s="13">
        <v>106559.91682000001</v>
      </c>
      <c r="E12" s="13">
        <v>105469.0951</v>
      </c>
      <c r="F12" s="13">
        <v>104914.96753</v>
      </c>
      <c r="G12" s="13">
        <v>104391.12384</v>
      </c>
      <c r="H12" s="13">
        <v>103948.02731</v>
      </c>
      <c r="I12" s="13">
        <v>103389.60525</v>
      </c>
      <c r="J12" s="13">
        <v>102658.69635000001</v>
      </c>
      <c r="K12" s="13">
        <v>102204.38512</v>
      </c>
      <c r="L12" s="13">
        <v>101750.63297</v>
      </c>
      <c r="M12" s="13">
        <v>101156.6</v>
      </c>
    </row>
    <row r="13" spans="1:15" ht="14.25">
      <c r="A13" s="25" t="s">
        <v>38</v>
      </c>
      <c r="B13" s="13">
        <v>3741579.595480519</v>
      </c>
      <c r="C13" s="13">
        <v>3791513.636086</v>
      </c>
      <c r="D13" s="13">
        <v>3830011.3946959996</v>
      </c>
      <c r="E13" s="13">
        <v>3696886.67697</v>
      </c>
      <c r="F13" s="13">
        <v>3634874.461546</v>
      </c>
      <c r="G13" s="13">
        <v>3585721.701966</v>
      </c>
      <c r="H13" s="13">
        <v>3576125.7409800002</v>
      </c>
      <c r="I13" s="13">
        <v>3617602.12519</v>
      </c>
      <c r="J13" s="13">
        <v>3571780.33324</v>
      </c>
      <c r="K13" s="13">
        <v>3500723.03373</v>
      </c>
      <c r="L13" s="13">
        <v>3406284.5427400004</v>
      </c>
      <c r="M13" s="13">
        <v>3436368.4</v>
      </c>
      <c r="O13" s="32"/>
    </row>
    <row r="14" spans="1:13" ht="14.25">
      <c r="A14" s="16" t="s">
        <v>47</v>
      </c>
      <c r="B14" s="11">
        <f aca="true" t="shared" si="4" ref="B14:K14">B16+B17</f>
        <v>5849541.003315688</v>
      </c>
      <c r="C14" s="11">
        <f t="shared" si="4"/>
        <v>5813552.657724286</v>
      </c>
      <c r="D14" s="11">
        <f t="shared" si="4"/>
        <v>5867992.796531907</v>
      </c>
      <c r="E14" s="11">
        <f t="shared" si="4"/>
        <v>5759392.18721</v>
      </c>
      <c r="F14" s="11">
        <f t="shared" si="4"/>
        <v>5910385.365002281</v>
      </c>
      <c r="G14" s="11">
        <f t="shared" si="4"/>
        <v>5863592.923448527</v>
      </c>
      <c r="H14" s="11">
        <f t="shared" si="4"/>
        <v>5664941.394074943</v>
      </c>
      <c r="I14" s="11">
        <f t="shared" si="4"/>
        <v>5582730.827498125</v>
      </c>
      <c r="J14" s="11">
        <f t="shared" si="4"/>
        <v>5526529.447683788</v>
      </c>
      <c r="K14" s="11">
        <f t="shared" si="4"/>
        <v>5481253.171796125</v>
      </c>
      <c r="L14" s="11">
        <v>5332464.628645209</v>
      </c>
      <c r="M14" s="11">
        <f>M16+M17</f>
        <v>5070554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v>5849541.003315688</v>
      </c>
      <c r="C17" s="13">
        <v>5813552.657724286</v>
      </c>
      <c r="D17" s="13">
        <v>5867992.796531907</v>
      </c>
      <c r="E17" s="13">
        <v>5759392.18721</v>
      </c>
      <c r="F17" s="13">
        <v>5910385.365002281</v>
      </c>
      <c r="G17" s="13">
        <v>5863592.923448527</v>
      </c>
      <c r="H17" s="13">
        <v>5664941.394074943</v>
      </c>
      <c r="I17" s="13">
        <v>5582730.827498125</v>
      </c>
      <c r="J17" s="13">
        <v>5526529.447683788</v>
      </c>
      <c r="K17" s="13">
        <v>5481253.171796125</v>
      </c>
      <c r="L17" s="13">
        <v>5332464.628645209</v>
      </c>
      <c r="M17" s="13">
        <v>5070554</v>
      </c>
    </row>
    <row r="20" ht="14.2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125" defaultRowHeight="12.75"/>
  <cols>
    <col min="1" max="1" width="40.50390625" style="22" customWidth="1"/>
    <col min="2" max="2" width="10.125" style="22" customWidth="1"/>
    <col min="3" max="16384" width="9.125" style="22" customWidth="1"/>
  </cols>
  <sheetData>
    <row r="1" spans="1:13" ht="13.5" customHeight="1">
      <c r="A1" s="39" t="s">
        <v>42</v>
      </c>
      <c r="B1" s="39"/>
      <c r="C1" s="39"/>
      <c r="D1" s="39"/>
      <c r="E1" s="39"/>
      <c r="F1" s="39"/>
      <c r="G1" s="39"/>
      <c r="H1" s="39"/>
      <c r="I1" s="45"/>
      <c r="J1" s="45"/>
      <c r="K1" s="45"/>
      <c r="L1" s="45"/>
      <c r="M1" s="45"/>
    </row>
    <row r="2" spans="1:13" ht="27" customHeight="1">
      <c r="A2" s="39"/>
      <c r="B2" s="39"/>
      <c r="C2" s="39"/>
      <c r="D2" s="39"/>
      <c r="E2" s="39"/>
      <c r="F2" s="39"/>
      <c r="G2" s="39"/>
      <c r="H2" s="39"/>
      <c r="I2" s="45"/>
      <c r="J2" s="45"/>
      <c r="K2" s="45"/>
      <c r="L2" s="45"/>
      <c r="M2" s="45"/>
    </row>
    <row r="3" spans="1:13" ht="18" customHeight="1">
      <c r="A3" s="44" t="s">
        <v>24</v>
      </c>
      <c r="B3" s="44"/>
      <c r="C3" s="44"/>
      <c r="D3" s="44"/>
      <c r="E3" s="44"/>
      <c r="F3" s="44"/>
      <c r="G3" s="44"/>
      <c r="H3" s="44"/>
      <c r="I3" s="46"/>
      <c r="J3" s="46"/>
      <c r="K3" s="46"/>
      <c r="L3" s="46"/>
      <c r="M3" s="46"/>
    </row>
    <row r="4" spans="1:13" ht="18" customHeight="1">
      <c r="A4" s="23" t="s">
        <v>37</v>
      </c>
      <c r="B4" s="40">
        <v>2016</v>
      </c>
      <c r="C4" s="47"/>
      <c r="D4" s="47"/>
      <c r="E4" s="47"/>
      <c r="F4" s="47"/>
      <c r="G4" s="47"/>
      <c r="H4" s="47"/>
      <c r="I4" s="47"/>
      <c r="J4" s="48"/>
      <c r="K4" s="48"/>
      <c r="L4" s="48"/>
      <c r="M4" s="49"/>
    </row>
    <row r="5" spans="1:13" ht="14.2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4.25">
      <c r="A6" s="16" t="s">
        <v>46</v>
      </c>
      <c r="B6" s="11">
        <f>B10+B14</f>
        <v>12060942.156000001</v>
      </c>
      <c r="C6" s="11">
        <f>C10+C14</f>
        <v>11208551.607</v>
      </c>
      <c r="D6" s="11">
        <v>11010176.896</v>
      </c>
      <c r="E6" s="11">
        <f aca="true" t="shared" si="0" ref="E6:M6">E10+E14</f>
        <v>10958749.407</v>
      </c>
      <c r="F6" s="11">
        <f t="shared" si="0"/>
        <v>10956636.83737</v>
      </c>
      <c r="G6" s="11">
        <f t="shared" si="0"/>
        <v>10927563.048999999</v>
      </c>
      <c r="H6" s="11">
        <f t="shared" si="0"/>
        <v>10814198.2452</v>
      </c>
      <c r="I6" s="11">
        <f t="shared" si="0"/>
        <v>10671438.018922072</v>
      </c>
      <c r="J6" s="11">
        <f t="shared" si="0"/>
        <v>10558785.509896029</v>
      </c>
      <c r="K6" s="11">
        <f t="shared" si="0"/>
        <v>10503644.960109886</v>
      </c>
      <c r="L6" s="11">
        <f t="shared" si="0"/>
        <v>10335043.553575892</v>
      </c>
      <c r="M6" s="11">
        <f t="shared" si="0"/>
        <v>9930048.507969137</v>
      </c>
    </row>
    <row r="7" spans="1:13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25" t="s">
        <v>19</v>
      </c>
      <c r="B8" s="13">
        <f>B12+B16</f>
        <v>114006.207</v>
      </c>
      <c r="C8" s="13">
        <f>C12+C16</f>
        <v>113634.057</v>
      </c>
      <c r="D8" s="13">
        <v>113258.918</v>
      </c>
      <c r="E8" s="13">
        <f aca="true" t="shared" si="1" ref="E8:H9">E12+E16</f>
        <v>112893.3</v>
      </c>
      <c r="F8" s="13">
        <f t="shared" si="1"/>
        <v>112436.06717</v>
      </c>
      <c r="G8" s="13">
        <f t="shared" si="1"/>
        <v>112020.78</v>
      </c>
      <c r="H8" s="13">
        <f t="shared" si="1"/>
        <v>111669.84195</v>
      </c>
      <c r="I8" s="13">
        <v>110622.80167</v>
      </c>
      <c r="J8" s="13">
        <f aca="true" t="shared" si="2" ref="J8:M9">J12+J16</f>
        <v>110026.58791</v>
      </c>
      <c r="K8" s="13">
        <f t="shared" si="2"/>
        <v>109453.58884</v>
      </c>
      <c r="L8" s="13">
        <f t="shared" si="2"/>
        <v>108918.6294</v>
      </c>
      <c r="M8" s="13">
        <f t="shared" si="2"/>
        <v>108408.30304000001</v>
      </c>
    </row>
    <row r="9" spans="1:13" ht="14.25">
      <c r="A9" s="25" t="s">
        <v>20</v>
      </c>
      <c r="B9" s="13">
        <f>B13+B17</f>
        <v>11946935.949000001</v>
      </c>
      <c r="C9" s="13">
        <f>C13+C17</f>
        <v>11094917.55</v>
      </c>
      <c r="D9" s="13">
        <v>10896917.978</v>
      </c>
      <c r="E9" s="13">
        <f t="shared" si="1"/>
        <v>10845856.107</v>
      </c>
      <c r="F9" s="13">
        <f t="shared" si="1"/>
        <v>10844200.7702</v>
      </c>
      <c r="G9" s="13">
        <f t="shared" si="1"/>
        <v>10815542.269</v>
      </c>
      <c r="H9" s="13">
        <f t="shared" si="1"/>
        <v>10702528.40325</v>
      </c>
      <c r="I9" s="13">
        <v>10560815.217252074</v>
      </c>
      <c r="J9" s="13">
        <f t="shared" si="2"/>
        <v>10448758.921986029</v>
      </c>
      <c r="K9" s="13">
        <f t="shared" si="2"/>
        <v>10394191.371269887</v>
      </c>
      <c r="L9" s="13">
        <f t="shared" si="2"/>
        <v>10226124.924175892</v>
      </c>
      <c r="M9" s="13">
        <f t="shared" si="2"/>
        <v>9821640.204929138</v>
      </c>
    </row>
    <row r="10" spans="1:13" ht="14.25">
      <c r="A10" s="16" t="s">
        <v>48</v>
      </c>
      <c r="B10" s="11">
        <f>B12+B13</f>
        <v>4263676.153000001</v>
      </c>
      <c r="C10" s="11">
        <f>C12+C13</f>
        <v>4108081.729</v>
      </c>
      <c r="D10" s="11">
        <v>4165595.894</v>
      </c>
      <c r="E10" s="11">
        <f aca="true" t="shared" si="3" ref="E10:M10">E12+E13</f>
        <v>4177748.772</v>
      </c>
      <c r="F10" s="11">
        <f t="shared" si="3"/>
        <v>4242135.522369999</v>
      </c>
      <c r="G10" s="11">
        <f t="shared" si="3"/>
        <v>4155669.7359999996</v>
      </c>
      <c r="H10" s="11">
        <f t="shared" si="3"/>
        <v>4091845.2221999997</v>
      </c>
      <c r="I10" s="11">
        <f t="shared" si="3"/>
        <v>4037497.5635359995</v>
      </c>
      <c r="J10" s="11">
        <f t="shared" si="3"/>
        <v>4007105.6543005193</v>
      </c>
      <c r="K10" s="11">
        <f t="shared" si="3"/>
        <v>3963559.963600519</v>
      </c>
      <c r="L10" s="11">
        <f t="shared" si="3"/>
        <v>3896503.5209105196</v>
      </c>
      <c r="M10" s="11">
        <f t="shared" si="3"/>
        <v>3810252.4314660006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114006.207</v>
      </c>
      <c r="C12" s="13">
        <v>113634.057</v>
      </c>
      <c r="D12" s="13">
        <v>113258.918</v>
      </c>
      <c r="E12" s="13">
        <v>112893.3</v>
      </c>
      <c r="F12" s="13">
        <v>112436.06717</v>
      </c>
      <c r="G12" s="13">
        <v>112020.78</v>
      </c>
      <c r="H12" s="13">
        <v>111669.84195</v>
      </c>
      <c r="I12" s="13">
        <v>110622.80167</v>
      </c>
      <c r="J12" s="13">
        <v>110026.58791</v>
      </c>
      <c r="K12" s="13">
        <v>109453.58884</v>
      </c>
      <c r="L12" s="13">
        <v>108918.6294</v>
      </c>
      <c r="M12" s="13">
        <v>108408.30304000001</v>
      </c>
    </row>
    <row r="13" spans="1:13" ht="14.25">
      <c r="A13" s="25" t="s">
        <v>38</v>
      </c>
      <c r="B13" s="13">
        <f>2853065.305+1296604.641</f>
        <v>4149669.9460000005</v>
      </c>
      <c r="C13" s="13">
        <f>2674824.05+1319623.622</f>
        <v>3994447.672</v>
      </c>
      <c r="D13" s="13">
        <v>4052336.976</v>
      </c>
      <c r="E13" s="13">
        <f>2751224.817+1313630.655</f>
        <v>4064855.472</v>
      </c>
      <c r="F13" s="13">
        <v>4129699.4551999997</v>
      </c>
      <c r="G13" s="13">
        <f>2750010.451+1293638.505</f>
        <v>4043648.956</v>
      </c>
      <c r="H13" s="13">
        <v>3980175.38025</v>
      </c>
      <c r="I13" s="13">
        <v>3926874.7618659995</v>
      </c>
      <c r="J13" s="13">
        <v>3897079.066390519</v>
      </c>
      <c r="K13" s="13">
        <v>3854106.3747605192</v>
      </c>
      <c r="L13" s="13">
        <v>3787584.8915105197</v>
      </c>
      <c r="M13" s="13">
        <v>3701844.1284260005</v>
      </c>
    </row>
    <row r="14" spans="1:13" ht="14.25">
      <c r="A14" s="16" t="s">
        <v>47</v>
      </c>
      <c r="B14" s="11">
        <f>B16+B17</f>
        <v>7797266.0030000005</v>
      </c>
      <c r="C14" s="11">
        <f>C16+C17</f>
        <v>7100469.8780000005</v>
      </c>
      <c r="D14" s="11">
        <v>6844581.002</v>
      </c>
      <c r="E14" s="11">
        <f aca="true" t="shared" si="4" ref="E14:M14">E16+E17</f>
        <v>6781000.635</v>
      </c>
      <c r="F14" s="11">
        <f t="shared" si="4"/>
        <v>6714501.315</v>
      </c>
      <c r="G14" s="11">
        <f t="shared" si="4"/>
        <v>6771893.313</v>
      </c>
      <c r="H14" s="11">
        <f t="shared" si="4"/>
        <v>6722353.023</v>
      </c>
      <c r="I14" s="11">
        <f t="shared" si="4"/>
        <v>6633940.455386073</v>
      </c>
      <c r="J14" s="11">
        <f t="shared" si="4"/>
        <v>6551679.8555955095</v>
      </c>
      <c r="K14" s="11">
        <f t="shared" si="4"/>
        <v>6540084.996509368</v>
      </c>
      <c r="L14" s="11">
        <f t="shared" si="4"/>
        <v>6438540.032665372</v>
      </c>
      <c r="M14" s="11">
        <f t="shared" si="4"/>
        <v>6119796.076503137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f>7053962.122+743303.881</f>
        <v>7797266.0030000005</v>
      </c>
      <c r="C17" s="13">
        <f>6401387.189+699082.689</f>
        <v>7100469.8780000005</v>
      </c>
      <c r="D17" s="13">
        <v>6844581.002</v>
      </c>
      <c r="E17" s="13">
        <f>6153450.074+627550.561</f>
        <v>6781000.635</v>
      </c>
      <c r="F17" s="13">
        <v>6714501.315</v>
      </c>
      <c r="G17" s="13">
        <f>6204471.593+567421.72</f>
        <v>6771893.313</v>
      </c>
      <c r="H17" s="13">
        <v>6722353.023</v>
      </c>
      <c r="I17" s="13">
        <v>6633940.455386073</v>
      </c>
      <c r="J17" s="13">
        <v>6551679.8555955095</v>
      </c>
      <c r="K17" s="13">
        <v>6540084.996509368</v>
      </c>
      <c r="L17" s="13">
        <v>6438540.032665372</v>
      </c>
      <c r="M17" s="13">
        <v>6119796.076503137</v>
      </c>
    </row>
    <row r="20" ht="14.25">
      <c r="B20" s="27"/>
    </row>
  </sheetData>
  <sheetProtection/>
  <mergeCells count="3">
    <mergeCell ref="A1:M2"/>
    <mergeCell ref="A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125" defaultRowHeight="12.75"/>
  <cols>
    <col min="1" max="1" width="40.50390625" style="22" customWidth="1"/>
    <col min="2" max="2" width="10.125" style="22" customWidth="1"/>
    <col min="3" max="16384" width="9.125" style="22" customWidth="1"/>
  </cols>
  <sheetData>
    <row r="1" spans="1:13" ht="13.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8" customHeight="1">
      <c r="A4" s="23" t="s">
        <v>37</v>
      </c>
      <c r="B4" s="50">
        <v>2015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4.25">
      <c r="A5" s="23" t="s">
        <v>16</v>
      </c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31" t="s">
        <v>34</v>
      </c>
      <c r="L5" s="31" t="s">
        <v>35</v>
      </c>
      <c r="M5" s="31" t="s">
        <v>36</v>
      </c>
    </row>
    <row r="6" spans="1:13" ht="14.25">
      <c r="A6" s="16" t="s">
        <v>46</v>
      </c>
      <c r="B6" s="11">
        <f aca="true" t="shared" si="0" ref="B6:M6">B10+B14</f>
        <v>9903804.794</v>
      </c>
      <c r="C6" s="11">
        <f t="shared" si="0"/>
        <v>10078344.782</v>
      </c>
      <c r="D6" s="11">
        <f t="shared" si="0"/>
        <v>10582094.977</v>
      </c>
      <c r="E6" s="11">
        <f t="shared" si="0"/>
        <v>11134554.855</v>
      </c>
      <c r="F6" s="11">
        <f t="shared" si="0"/>
        <v>11072659.678</v>
      </c>
      <c r="G6" s="11">
        <f t="shared" si="0"/>
        <v>11001044.083999999</v>
      </c>
      <c r="H6" s="11">
        <f t="shared" si="0"/>
        <v>10978772.067</v>
      </c>
      <c r="I6" s="11">
        <f t="shared" si="0"/>
        <v>11164449.73757514</v>
      </c>
      <c r="J6" s="11">
        <f t="shared" si="0"/>
        <v>11333257.106</v>
      </c>
      <c r="K6" s="11">
        <f t="shared" si="0"/>
        <v>11349128.394000001</v>
      </c>
      <c r="L6" s="11">
        <f t="shared" si="0"/>
        <v>11251893.214</v>
      </c>
      <c r="M6" s="11">
        <f t="shared" si="0"/>
        <v>11341660.316</v>
      </c>
    </row>
    <row r="7" spans="1:13" ht="14.25">
      <c r="A7" s="24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25" t="s">
        <v>19</v>
      </c>
      <c r="B8" s="13">
        <f aca="true" t="shared" si="1" ref="B8:M8">B12+B16</f>
        <v>121933.417</v>
      </c>
      <c r="C8" s="13">
        <f t="shared" si="1"/>
        <v>121463.222</v>
      </c>
      <c r="D8" s="13">
        <f t="shared" si="1"/>
        <v>120682.816</v>
      </c>
      <c r="E8" s="13">
        <f t="shared" si="1"/>
        <v>120133.927</v>
      </c>
      <c r="F8" s="13">
        <f t="shared" si="1"/>
        <v>119634.039</v>
      </c>
      <c r="G8" s="13">
        <f t="shared" si="1"/>
        <v>118970.94</v>
      </c>
      <c r="H8" s="13">
        <f t="shared" si="1"/>
        <v>118194.657</v>
      </c>
      <c r="I8" s="13">
        <f t="shared" si="1"/>
        <v>116966.9965</v>
      </c>
      <c r="J8" s="13">
        <f t="shared" si="1"/>
        <v>116031.052</v>
      </c>
      <c r="K8" s="13">
        <f t="shared" si="1"/>
        <v>115618.739</v>
      </c>
      <c r="L8" s="13">
        <f t="shared" si="1"/>
        <v>114854.479</v>
      </c>
      <c r="M8" s="13">
        <f t="shared" si="1"/>
        <v>114382.693</v>
      </c>
    </row>
    <row r="9" spans="1:13" ht="14.25">
      <c r="A9" s="25" t="s">
        <v>20</v>
      </c>
      <c r="B9" s="13">
        <f aca="true" t="shared" si="2" ref="B9:M9">B13+B17</f>
        <v>9781871.377</v>
      </c>
      <c r="C9" s="13">
        <f t="shared" si="2"/>
        <v>9956881.56</v>
      </c>
      <c r="D9" s="13">
        <f t="shared" si="2"/>
        <v>10461412.160999998</v>
      </c>
      <c r="E9" s="13">
        <f t="shared" si="2"/>
        <v>11014420.928</v>
      </c>
      <c r="F9" s="13">
        <f t="shared" si="2"/>
        <v>10953025.639</v>
      </c>
      <c r="G9" s="13">
        <f t="shared" si="2"/>
        <v>10882073.144</v>
      </c>
      <c r="H9" s="13">
        <f t="shared" si="2"/>
        <v>10860577.41</v>
      </c>
      <c r="I9" s="13">
        <f t="shared" si="2"/>
        <v>11047482.74107514</v>
      </c>
      <c r="J9" s="13">
        <f t="shared" si="2"/>
        <v>11217226.054</v>
      </c>
      <c r="K9" s="13">
        <f t="shared" si="2"/>
        <v>11233509.655000001</v>
      </c>
      <c r="L9" s="13">
        <f t="shared" si="2"/>
        <v>11137038.735</v>
      </c>
      <c r="M9" s="13">
        <f t="shared" si="2"/>
        <v>11227277.623</v>
      </c>
    </row>
    <row r="10" spans="1:13" ht="14.25">
      <c r="A10" s="16" t="s">
        <v>48</v>
      </c>
      <c r="B10" s="11">
        <f aca="true" t="shared" si="3" ref="B10:I10">B12+B13</f>
        <v>3961510.738</v>
      </c>
      <c r="C10" s="11">
        <f t="shared" si="3"/>
        <v>4075207.867</v>
      </c>
      <c r="D10" s="11">
        <f t="shared" si="3"/>
        <v>3931885.4499999997</v>
      </c>
      <c r="E10" s="11">
        <f t="shared" si="3"/>
        <v>4044334.7920000004</v>
      </c>
      <c r="F10" s="11">
        <f t="shared" si="3"/>
        <v>3985132.963</v>
      </c>
      <c r="G10" s="11">
        <f t="shared" si="3"/>
        <v>4050929.326</v>
      </c>
      <c r="H10" s="11">
        <f t="shared" si="3"/>
        <v>4062194.703</v>
      </c>
      <c r="I10" s="11">
        <f t="shared" si="3"/>
        <v>4165542.329616</v>
      </c>
      <c r="J10" s="11">
        <f>J12+J13</f>
        <v>4183127.543</v>
      </c>
      <c r="K10" s="11">
        <f>K12+K13</f>
        <v>4152399.7539999997</v>
      </c>
      <c r="L10" s="11">
        <f>L12+L13</f>
        <v>4094840.733</v>
      </c>
      <c r="M10" s="11">
        <f>M12+M13</f>
        <v>4186194.534</v>
      </c>
    </row>
    <row r="11" spans="1:13" ht="14.25">
      <c r="A11" s="2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25" t="s">
        <v>19</v>
      </c>
      <c r="B12" s="13">
        <v>121933.417</v>
      </c>
      <c r="C12" s="13">
        <v>121463.222</v>
      </c>
      <c r="D12" s="13">
        <v>120682.816</v>
      </c>
      <c r="E12" s="13">
        <v>120133.927</v>
      </c>
      <c r="F12" s="13">
        <v>119634.039</v>
      </c>
      <c r="G12" s="13">
        <v>118970.94</v>
      </c>
      <c r="H12" s="13">
        <v>118194.657</v>
      </c>
      <c r="I12" s="13">
        <v>116966.9965</v>
      </c>
      <c r="J12" s="13">
        <v>116031.052</v>
      </c>
      <c r="K12" s="13">
        <v>115618.739</v>
      </c>
      <c r="L12" s="13">
        <v>114854.479</v>
      </c>
      <c r="M12" s="13">
        <v>114382.693</v>
      </c>
    </row>
    <row r="13" spans="1:13" ht="14.25">
      <c r="A13" s="25" t="s">
        <v>38</v>
      </c>
      <c r="B13" s="13">
        <f>2814098.458+1025478.863</f>
        <v>3839577.321</v>
      </c>
      <c r="C13" s="13">
        <f>2908650.619+1045094.026</f>
        <v>3953744.645</v>
      </c>
      <c r="D13" s="13">
        <f>2748063.448+1063139.186</f>
        <v>3811202.6339999996</v>
      </c>
      <c r="E13" s="13">
        <f>2817030.381+1107170.484</f>
        <v>3924200.865</v>
      </c>
      <c r="F13" s="13">
        <f>2743312.339+1122186.585</f>
        <v>3865498.924</v>
      </c>
      <c r="G13" s="13">
        <f>2791969.781+1139988.605</f>
        <v>3931958.386</v>
      </c>
      <c r="H13" s="13">
        <v>3944000.046</v>
      </c>
      <c r="I13" s="13">
        <v>4048575.333116</v>
      </c>
      <c r="J13" s="13">
        <f>2864046.962+1203049.529</f>
        <v>4067096.491</v>
      </c>
      <c r="K13" s="13">
        <f>2816587.676+1220193.339</f>
        <v>4036781.0149999997</v>
      </c>
      <c r="L13" s="13">
        <f>2761885.615+1218100.639</f>
        <v>3979986.254</v>
      </c>
      <c r="M13" s="13">
        <f>2814102.348+1257709.493</f>
        <v>4071811.841</v>
      </c>
    </row>
    <row r="14" spans="1:13" ht="14.25">
      <c r="A14" s="16" t="s">
        <v>47</v>
      </c>
      <c r="B14" s="11">
        <f aca="true" t="shared" si="4" ref="B14:I14">B16+B17</f>
        <v>5942294.056</v>
      </c>
      <c r="C14" s="11">
        <f t="shared" si="4"/>
        <v>6003136.915</v>
      </c>
      <c r="D14" s="11">
        <f t="shared" si="4"/>
        <v>6650209.527</v>
      </c>
      <c r="E14" s="11">
        <f t="shared" si="4"/>
        <v>7090220.063</v>
      </c>
      <c r="F14" s="11">
        <f t="shared" si="4"/>
        <v>7087526.715</v>
      </c>
      <c r="G14" s="11">
        <f t="shared" si="4"/>
        <v>6950114.757999999</v>
      </c>
      <c r="H14" s="11">
        <f t="shared" si="4"/>
        <v>6916577.364</v>
      </c>
      <c r="I14" s="11">
        <f t="shared" si="4"/>
        <v>6998907.40795914</v>
      </c>
      <c r="J14" s="11">
        <f>J16+J17</f>
        <v>7150129.563</v>
      </c>
      <c r="K14" s="11">
        <f>K16+K17</f>
        <v>7196728.640000001</v>
      </c>
      <c r="L14" s="11">
        <f>L16+L17</f>
        <v>7157052.481</v>
      </c>
      <c r="M14" s="11">
        <f>M16+M17</f>
        <v>7155465.782</v>
      </c>
    </row>
    <row r="15" spans="1:13" ht="14.25">
      <c r="A15" s="2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2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4.25">
      <c r="A17" s="25" t="s">
        <v>38</v>
      </c>
      <c r="B17" s="13">
        <f>5025233.345+917060.711</f>
        <v>5942294.056</v>
      </c>
      <c r="C17" s="13">
        <f>5061565.51+941571.405</f>
        <v>6003136.915</v>
      </c>
      <c r="D17" s="13">
        <f>5681706.296+968503.231</f>
        <v>6650209.527</v>
      </c>
      <c r="E17" s="13">
        <f>6078184.588+1012035.475</f>
        <v>7090220.063</v>
      </c>
      <c r="F17" s="13">
        <f>6106128.515+981398.2</f>
        <v>7087526.715</v>
      </c>
      <c r="G17" s="13">
        <f>5998676.129+951438.629</f>
        <v>6950114.757999999</v>
      </c>
      <c r="H17" s="13">
        <v>6916577.364</v>
      </c>
      <c r="I17" s="13">
        <v>6998907.40795914</v>
      </c>
      <c r="J17" s="13">
        <f>6295435.74+854693.823</f>
        <v>7150129.563</v>
      </c>
      <c r="K17" s="13">
        <f>6368459.791+828268.849</f>
        <v>7196728.640000001</v>
      </c>
      <c r="L17" s="13">
        <f>6374199.142+782853.339</f>
        <v>7157052.481</v>
      </c>
      <c r="M17" s="13">
        <f>6421559.401+733906.381</f>
        <v>7155465.782</v>
      </c>
    </row>
    <row r="20" ht="14.25">
      <c r="B20" s="27"/>
    </row>
  </sheetData>
  <sheetProtection/>
  <mergeCells count="3">
    <mergeCell ref="B4:M4"/>
    <mergeCell ref="A1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2018-09-27T05:44:14Z</cp:lastPrinted>
  <dcterms:created xsi:type="dcterms:W3CDTF">2003-07-11T09:56:24Z</dcterms:created>
  <dcterms:modified xsi:type="dcterms:W3CDTF">2023-08-15T06:30:30Z</dcterms:modified>
  <cp:category/>
  <cp:version/>
  <cp:contentType/>
  <cp:contentStatus/>
</cp:coreProperties>
</file>